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140" yWindow="65371" windowWidth="21840" windowHeight="10875" activeTab="2"/>
  </bookViews>
  <sheets>
    <sheet name="Introduction" sheetId="1" r:id="rId1"/>
    <sheet name="Basis of Costs" sheetId="2" r:id="rId2"/>
    <sheet name="Cost of Attendance" sheetId="3" r:id="rId3"/>
    <sheet name="Checklist" sheetId="4" r:id="rId4"/>
    <sheet name="School DATA" sheetId="5" r:id="rId5"/>
  </sheets>
  <definedNames>
    <definedName name="_xlnm.Print_Area" localSheetId="2">'Cost of Attendance'!$A$1:$E$97</definedName>
  </definedNames>
  <calcPr fullCalcOnLoad="1"/>
</workbook>
</file>

<file path=xl/sharedStrings.xml><?xml version="1.0" encoding="utf-8"?>
<sst xmlns="http://schemas.openxmlformats.org/spreadsheetml/2006/main" count="424" uniqueCount="373">
  <si>
    <t>Then answer these</t>
  </si>
  <si>
    <t>What is you EFC (top right of front page of SAR) Even zero must be entered</t>
  </si>
  <si>
    <t>Room - Rent</t>
  </si>
  <si>
    <t>Personal</t>
  </si>
  <si>
    <t>Add any other essential costs - write here - only in £</t>
  </si>
  <si>
    <t>Books &amp; Copying</t>
  </si>
  <si>
    <t>Y</t>
  </si>
  <si>
    <t>N</t>
  </si>
  <si>
    <t>Application/Student Number</t>
  </si>
  <si>
    <t>Board - Food and Power</t>
  </si>
  <si>
    <t>Sub</t>
  </si>
  <si>
    <t>postgraduates</t>
  </si>
  <si>
    <t>Undergraduate1</t>
  </si>
  <si>
    <t>Undergraduate2</t>
  </si>
  <si>
    <t>Law</t>
  </si>
  <si>
    <t>Actual Loans</t>
  </si>
  <si>
    <t xml:space="preserve">Convert £ </t>
  </si>
  <si>
    <t>Already $</t>
  </si>
  <si>
    <t>Fees</t>
  </si>
  <si>
    <t>Sponsors</t>
  </si>
  <si>
    <t>School Aid</t>
  </si>
  <si>
    <t>UG Weeks</t>
  </si>
  <si>
    <t>Choice</t>
  </si>
  <si>
    <t>Year</t>
  </si>
  <si>
    <t>Undergraduate&gt;2</t>
  </si>
  <si>
    <t>Max CoA before Interview</t>
  </si>
  <si>
    <t>Cost of Attendance</t>
  </si>
  <si>
    <t>&amp; Loan Calculation</t>
  </si>
  <si>
    <t>$</t>
  </si>
  <si>
    <t>Tuition Fees</t>
  </si>
  <si>
    <t>Room</t>
  </si>
  <si>
    <t>Board</t>
  </si>
  <si>
    <t>Books</t>
  </si>
  <si>
    <t>Travel</t>
  </si>
  <si>
    <t>PG Weeke</t>
  </si>
  <si>
    <t>UG Costs</t>
  </si>
  <si>
    <t>PG Costs</t>
  </si>
  <si>
    <t>Max Loan Available</t>
  </si>
  <si>
    <t>Unsubsudised</t>
  </si>
  <si>
    <t>Total Cost of Attendance</t>
  </si>
  <si>
    <t>Other Essential Costs</t>
  </si>
  <si>
    <t>No of Weeks for Undergraduates</t>
  </si>
  <si>
    <t>No of Weeks for Postrgraduates</t>
  </si>
  <si>
    <t>Rate</t>
  </si>
  <si>
    <t>Unsub Depend</t>
  </si>
  <si>
    <t>Unsub Ind</t>
  </si>
  <si>
    <t>Deduct from "Need"</t>
  </si>
  <si>
    <t>Other Aid £UK</t>
  </si>
  <si>
    <t>Other Aid $USA</t>
  </si>
  <si>
    <t>STANDING DATA</t>
  </si>
  <si>
    <t>CoA</t>
  </si>
  <si>
    <t>Less EFC</t>
  </si>
  <si>
    <t>Is this course for BSc or BA or BLL? Only answer Y or N</t>
  </si>
  <si>
    <t>Sub Calc</t>
  </si>
  <si>
    <t>Unsub Calc</t>
  </si>
  <si>
    <t>Need for Sub</t>
  </si>
  <si>
    <t>SUB NEED</t>
  </si>
  <si>
    <t>UNSUB NEED</t>
  </si>
  <si>
    <t>Unsub available</t>
  </si>
  <si>
    <t>Need for Unsub</t>
  </si>
  <si>
    <t>PLUS Calc</t>
  </si>
  <si>
    <t>Subsidised - Adjusted by EFC</t>
  </si>
  <si>
    <t>Adjust for Sponsorship, Awards or other Aid</t>
  </si>
  <si>
    <t>n</t>
  </si>
  <si>
    <t>OK Statement</t>
  </si>
  <si>
    <t>Qualify 1</t>
  </si>
  <si>
    <t>Qualify 2</t>
  </si>
  <si>
    <t>Undergrad Courses which could get Postgrad funding</t>
  </si>
  <si>
    <t>I</t>
  </si>
  <si>
    <t>D</t>
  </si>
  <si>
    <t>Depend</t>
  </si>
  <si>
    <t>Address Line 1</t>
  </si>
  <si>
    <t>Address Line 2</t>
  </si>
  <si>
    <t>Address Line 3</t>
  </si>
  <si>
    <t>Address Line 4</t>
  </si>
  <si>
    <t>Zipcode / Postcode</t>
  </si>
  <si>
    <t>Email</t>
  </si>
  <si>
    <t>Date of Birth dd/mm/yyyy</t>
  </si>
  <si>
    <t>Full Social Security Number</t>
  </si>
  <si>
    <t>Family Name (Surname)</t>
  </si>
  <si>
    <t>THE COSTS YOU HAVE SUGGESTED ARE TOO HIGH TO BE ACCEPTABLE</t>
  </si>
  <si>
    <t>Subsidised</t>
  </si>
  <si>
    <t>Total Requested Cost of Attendance</t>
  </si>
  <si>
    <t>You are allowed to borrow up to the values above</t>
  </si>
  <si>
    <t>OK Statement 1</t>
  </si>
  <si>
    <t>OK Statement 2</t>
  </si>
  <si>
    <t>We will check everything you have provided with the USDE data and regulations</t>
  </si>
  <si>
    <t>You must provide evidence of your costs/needs before we can process your application</t>
  </si>
  <si>
    <t>Origination Fees</t>
  </si>
  <si>
    <t>Loan Type</t>
  </si>
  <si>
    <t>% Rate</t>
  </si>
  <si>
    <t>Loan Dates</t>
  </si>
  <si>
    <t>Undergrads</t>
  </si>
  <si>
    <t>Start</t>
  </si>
  <si>
    <t>End</t>
  </si>
  <si>
    <t>Postgrads</t>
  </si>
  <si>
    <t>Disburse Dates</t>
  </si>
  <si>
    <t>Please put Y or N in the response box for each question</t>
  </si>
  <si>
    <t>Checklist for Direct List Loan Applications</t>
  </si>
  <si>
    <t>Response</t>
  </si>
  <si>
    <t>If everything is correct we will originate your loans and issue a certificate for visa application</t>
  </si>
  <si>
    <t>Provide evidence of your needs for any increase to  PLUS to be considered or borrow less in Section 6</t>
  </si>
  <si>
    <t>After Origination Fees You Get</t>
  </si>
  <si>
    <t>What does your SAR say for "dependancy status" Only answer I or D</t>
  </si>
  <si>
    <t>School Comments</t>
  </si>
  <si>
    <t>Only Y or N</t>
  </si>
  <si>
    <t>Have you attached your Stafford MPN</t>
  </si>
  <si>
    <t>Have you applied for a PLUS Loan</t>
  </si>
  <si>
    <t>Selective Service</t>
  </si>
  <si>
    <t>Promissory Notes</t>
  </si>
  <si>
    <t>Entrance Counselling</t>
  </si>
  <si>
    <t>Have you attached your entrance counselling completion</t>
  </si>
  <si>
    <t>Allowed</t>
  </si>
  <si>
    <t>surname</t>
  </si>
  <si>
    <t>forename</t>
  </si>
  <si>
    <t>line 1</t>
  </si>
  <si>
    <t>line 2</t>
  </si>
  <si>
    <t>line 3</t>
  </si>
  <si>
    <t>line 4</t>
  </si>
  <si>
    <t>123 45 6789</t>
  </si>
  <si>
    <t>201055555</t>
  </si>
  <si>
    <t>a. To make the process as speedy and as simple as possible</t>
  </si>
  <si>
    <t>b. To cut out the risk of your application being rejected and you having to start again</t>
  </si>
  <si>
    <t>There is nothing which tells the applicant that everything they need to do has been completed.</t>
  </si>
  <si>
    <t>There is nothing which tells the school that everything the applicant needs to do has been completed.</t>
  </si>
  <si>
    <t>You should also use the flowchart from our website to see the order in which you need to do each stage of your application</t>
  </si>
  <si>
    <t>5. It tells you how much of your loan will be retained by the government as origination fee</t>
  </si>
  <si>
    <t>6. It calculates the cost of the originations fees and increases the PLUS loan to cover them</t>
  </si>
  <si>
    <t>The default setting is "N"</t>
  </si>
  <si>
    <t>If there are no school comments then we have sufficient information to start the origination process. If anything is missing or incorrect, then we cannot originate your loans.</t>
  </si>
  <si>
    <t>This spreadsheet is to help you and us</t>
  </si>
  <si>
    <t>Max Loans Allowed Adjusted for Fees</t>
  </si>
  <si>
    <t>Max Loan after grossing up for Fees adjustments</t>
  </si>
  <si>
    <t>Are you female</t>
  </si>
  <si>
    <t>put 2nd date</t>
  </si>
  <si>
    <t>put 3rd date or blank</t>
  </si>
  <si>
    <t>put 4th date or blank</t>
  </si>
  <si>
    <t>ONLY ENTER DATES</t>
  </si>
  <si>
    <t>VALUES ARE AUTOMATIC</t>
  </si>
  <si>
    <t>Cost of Attendance - How to use this spreadsheet</t>
  </si>
  <si>
    <t>Exchange Rate</t>
  </si>
  <si>
    <t>The cost of a single course pack (for the term) applied for each week which is more than sufficient for book purchase.</t>
  </si>
  <si>
    <t>2 return flights</t>
  </si>
  <si>
    <t>PC</t>
  </si>
  <si>
    <t>PLUS Loan</t>
  </si>
  <si>
    <t>If anything on the checklist is missing we will not be able to start to process your application</t>
  </si>
  <si>
    <t>How these Costs are Calculated</t>
  </si>
  <si>
    <t>Year Dates</t>
  </si>
  <si>
    <t>These dates are set to minimise the risk of your loan being rejected by overlapping a previous year.</t>
  </si>
  <si>
    <t>Disbursement Dates</t>
  </si>
  <si>
    <t>WARNING - THESE DATES ARE EXPECTED AND NOT ACTUAL. Allow for about 3 days delay - just in case.</t>
  </si>
  <si>
    <t>Single Costs for the year - you may adjust or add extras in these columns - you may be asked for proof of your extra needs</t>
  </si>
  <si>
    <t>YOU TELL US HOW MUCH WOULD YOU LIKE TO BORROW - YOU MAY REDUCE THE FIGURES IN BLUE</t>
  </si>
  <si>
    <t>7 School Responses</t>
  </si>
  <si>
    <t>Interest</t>
  </si>
  <si>
    <t>Rebate</t>
  </si>
  <si>
    <t>Actual</t>
  </si>
  <si>
    <t>Factor</t>
  </si>
  <si>
    <t>Total (after rounding, may be slightly higher than total of section 4)</t>
  </si>
  <si>
    <t>It is used to help you and the school in several ways</t>
  </si>
  <si>
    <t>Government Fees *** Deducted</t>
  </si>
  <si>
    <t>8 Government Fees ***</t>
  </si>
  <si>
    <t>SCHOOL COMMENT ON YOUR PROPOSED COSTS &amp; ELIGIBLE LOANS</t>
  </si>
  <si>
    <t>4. it tells you whether the school will accept the costs you have proposed (Section 5)</t>
  </si>
  <si>
    <t>1. you tell us what we need to know about you before we can start to process your application (Section 1)</t>
  </si>
  <si>
    <t>Final</t>
  </si>
  <si>
    <t>Next review date for Exchange Rate</t>
  </si>
  <si>
    <t>The balance of the cost of attendance after Sub &amp; Unsub and grossed up to include Origination Fee  on Sub &amp; Unsub added to PLUS loan needs and then increased again to include the origination fee charged on PLUS Loans as quoted on Direct Lending website, and reduced by any rebate offered by USDE. This ensures that the cash you receive, after foreign exchange and deduction of origination fees, is the sterling cost of attendance.</t>
  </si>
  <si>
    <t>6. you tell us how much you want to borrow (Section 6) You adjust the figures shown in blue</t>
  </si>
  <si>
    <t>Total Eligible before adjustment for Fees</t>
  </si>
  <si>
    <t>MAXIMUM LOAN LEVELS AVAILABLE</t>
  </si>
  <si>
    <t>CONVERTING FEES AND CONTRIBUTIONS TO DOLLARS</t>
  </si>
  <si>
    <t>CONVERTING WEEKLY COSTS TO DOLLARS</t>
  </si>
  <si>
    <t>CONVERTING ANNUAL COSTS TO DOLLARS</t>
  </si>
  <si>
    <t>FINAL CALCULATIONS</t>
  </si>
  <si>
    <t>PLUS NEED</t>
  </si>
  <si>
    <t>Need for PLUS</t>
  </si>
  <si>
    <t>PLUS Available</t>
  </si>
  <si>
    <t>Requested Cost of Attendance (Values rounded)</t>
  </si>
  <si>
    <t>Sub available</t>
  </si>
  <si>
    <t>ORIG FEE INC</t>
  </si>
  <si>
    <t>Sub Orig Fee</t>
  </si>
  <si>
    <t>Unsub Orig Fee</t>
  </si>
  <si>
    <t>PLUS Orig fee</t>
  </si>
  <si>
    <t>DISBURSEMENTS</t>
  </si>
  <si>
    <t>ORIG FEE NOT INC</t>
  </si>
  <si>
    <t>Government Fees</t>
  </si>
  <si>
    <t xml:space="preserve">Your government takes an origination fee. </t>
  </si>
  <si>
    <t>If those repayments are not all on-time then the refund which was given to you will be charged back to you</t>
  </si>
  <si>
    <t>State how much you would like to borrow for each loan type - adjust the figures in blue in the "Your Request" column</t>
  </si>
  <si>
    <t>postcode/zipcode</t>
  </si>
  <si>
    <t>email address</t>
  </si>
  <si>
    <t>RETAIL (Main Street) RATE - NOT INTERBANK RATE</t>
  </si>
  <si>
    <t>From July 2012 there is no Subsidised Loan for postgraduates</t>
  </si>
  <si>
    <t>There was a partial refund of the origination fee which has been withdrawn for 2012 entry</t>
  </si>
  <si>
    <t xml:space="preserve">Bank 1 </t>
  </si>
  <si>
    <t>Commission %</t>
  </si>
  <si>
    <t>Bank Number</t>
  </si>
  <si>
    <t>Bank 2</t>
  </si>
  <si>
    <t>Bank 3</t>
  </si>
  <si>
    <t>Bank 4</t>
  </si>
  <si>
    <t>Bank 5</t>
  </si>
  <si>
    <t>Bank 6</t>
  </si>
  <si>
    <t>Bank 7</t>
  </si>
  <si>
    <t>Bank 8</t>
  </si>
  <si>
    <t>Bank 9</t>
  </si>
  <si>
    <t>Bank 10</t>
  </si>
  <si>
    <t>Subsidised Loans</t>
  </si>
  <si>
    <t>Unsubsidised Loans</t>
  </si>
  <si>
    <t>PLUS Loans</t>
  </si>
  <si>
    <t>Origination Fee %</t>
  </si>
  <si>
    <t>Rebate %</t>
  </si>
  <si>
    <t>Which Academic Year is this</t>
  </si>
  <si>
    <t>Start day of the year</t>
  </si>
  <si>
    <t>When do think your undergraduates start to arrive (occupy their bedroom)</t>
  </si>
  <si>
    <t>Complete these dates</t>
  </si>
  <si>
    <t>What will be the dates your students get their disbursements</t>
  </si>
  <si>
    <t>Only put in the date against each term</t>
  </si>
  <si>
    <t>Term 1 [could be autumn or 1st semester]</t>
  </si>
  <si>
    <t>Term 3 [could be summer - after Easter]</t>
  </si>
  <si>
    <t>Term 2 [could be spring - after Christmas - or 2nd semester]</t>
  </si>
  <si>
    <t>Term 4 [could be the writing up term after May/June exams if you have such a term]</t>
  </si>
  <si>
    <t>When did you do this</t>
  </si>
  <si>
    <t>Write in the date</t>
  </si>
  <si>
    <t>person 1</t>
  </si>
  <si>
    <t>person 2</t>
  </si>
  <si>
    <t>person 3</t>
  </si>
  <si>
    <t>person 4</t>
  </si>
  <si>
    <t>person 5</t>
  </si>
  <si>
    <t>person 6</t>
  </si>
  <si>
    <t>person 7</t>
  </si>
  <si>
    <t>person 8</t>
  </si>
  <si>
    <t>If any bank showed a commission rate then enter it against that bank</t>
  </si>
  <si>
    <t>Complete this Fee Estimate</t>
  </si>
  <si>
    <t>Be absolutely sure you are looking at the right year</t>
  </si>
  <si>
    <t>Year format yyyy/yy</t>
  </si>
  <si>
    <t>Complete these Cost Estimates which are PER WEEK</t>
  </si>
  <si>
    <t>What is the highest charge for your halls of residence per week</t>
  </si>
  <si>
    <t>Only put in the staff you authorise</t>
  </si>
  <si>
    <t>Do not put in initials where you don't have staff</t>
  </si>
  <si>
    <t>What is your best estimate for book buying or photocopying or course packs per week</t>
  </si>
  <si>
    <t>What is your best estimate at travel costs for the area for a week</t>
  </si>
  <si>
    <t>What is your best estimate at the high-end going rate for a room per week in the area</t>
  </si>
  <si>
    <t>Your dates in COD might be earlier [to allow processing time]</t>
  </si>
  <si>
    <t>Undergrad weeks</t>
  </si>
  <si>
    <t>Worst case rates</t>
  </si>
  <si>
    <t>Look up these costs on the web</t>
  </si>
  <si>
    <t>Have you entered on the Cost of Attendance how much you wish to borrow (Section 6)</t>
  </si>
  <si>
    <t>Have you entered your name and full address on the  Cost of Attendance</t>
  </si>
  <si>
    <t>Have you entered your SSN on the  Cost of Attendance</t>
  </si>
  <si>
    <t>Have you correctly entered your email address on the  Cost of Attendance</t>
  </si>
  <si>
    <t>Have you entered the EFC from your SAR on the  Cost of Attendance</t>
  </si>
  <si>
    <t>Have you entered your tuition fees on the  Cost of Attendance</t>
  </si>
  <si>
    <t>SCHOOL INFORMATION</t>
  </si>
  <si>
    <t>MONEY INFORMATION</t>
  </si>
  <si>
    <r>
      <t xml:space="preserve">What is the date of your last Bachelors' graduation ceremony </t>
    </r>
    <r>
      <rPr>
        <b/>
        <u val="single"/>
        <sz val="10"/>
        <color indexed="10"/>
        <rFont val="Times New Roman"/>
        <family val="1"/>
      </rPr>
      <t>in the summer</t>
    </r>
    <r>
      <rPr>
        <sz val="10"/>
        <color indexed="10"/>
        <rFont val="Times New Roman"/>
        <family val="1"/>
      </rPr>
      <t xml:space="preserve"> </t>
    </r>
  </si>
  <si>
    <t>AND/OR</t>
  </si>
  <si>
    <t>official end of summer term - ONLY if earlier</t>
  </si>
  <si>
    <t>You must also complete the Checklist</t>
  </si>
  <si>
    <r>
      <t xml:space="preserve">The checklist helps you ensure that everything needed has been completed for us to process your application; </t>
    </r>
    <r>
      <rPr>
        <b/>
        <u val="single"/>
        <sz val="10"/>
        <color indexed="10"/>
        <rFont val="Times New Roman"/>
        <family val="1"/>
      </rPr>
      <t>without it nothing can be processed</t>
    </r>
  </si>
  <si>
    <t>The checklist will tell you the consequence of anything missing</t>
  </si>
  <si>
    <t>If anything is missing or incomplete, your application will be rejected.</t>
  </si>
  <si>
    <r>
      <t xml:space="preserve">When we will receive this spreadsheet - </t>
    </r>
    <r>
      <rPr>
        <b/>
        <u val="single"/>
        <sz val="10"/>
        <color indexed="10"/>
        <rFont val="Times New Roman"/>
        <family val="1"/>
      </rPr>
      <t>and ALL the required attachments</t>
    </r>
    <r>
      <rPr>
        <b/>
        <sz val="10"/>
        <color indexed="12"/>
        <rFont val="Times New Roman"/>
        <family val="1"/>
      </rPr>
      <t xml:space="preserve"> - that is our trigger that you have done everything for us to start on your loan</t>
    </r>
  </si>
  <si>
    <t>For your information …</t>
  </si>
  <si>
    <t>3. it calculates how much you need and are eligible to borrow (Section 4)</t>
  </si>
  <si>
    <t>Information sent by the US Dept of Ed to schools also includes all those who may not apply or enroll.</t>
  </si>
  <si>
    <t>There are sets of documents which we have to receive before we can even start to certify or complete your loans</t>
  </si>
  <si>
    <t>The Basis of Costs tab shows you how we calculated the Cost of Attendance</t>
  </si>
  <si>
    <t>2. you can re-calculate your costs (Sections 2 &amp; 3) and if needed you can change our values shown in blue</t>
  </si>
  <si>
    <t>Worst combination goes to the CoA</t>
  </si>
  <si>
    <t>Worst Fee Rate</t>
  </si>
  <si>
    <t>What are the initials of your staff allowed to sign visa letters USE BLOCK CAPS</t>
  </si>
  <si>
    <t>AB</t>
  </si>
  <si>
    <t>CD</t>
  </si>
  <si>
    <t>GH</t>
  </si>
  <si>
    <t>JK</t>
  </si>
  <si>
    <t>LM</t>
  </si>
  <si>
    <t>NO</t>
  </si>
  <si>
    <t>PQ</t>
  </si>
  <si>
    <t>When - long after the first disbursement - will you review the exchange rate</t>
  </si>
  <si>
    <t>Travelcard/Transport Costs</t>
  </si>
  <si>
    <t>What is the highest possible Fee charged for this year for any course</t>
  </si>
  <si>
    <t>What is your normal family shopping for a week and adjust for one adult</t>
  </si>
  <si>
    <t>EF</t>
  </si>
  <si>
    <t>PC and Printer</t>
  </si>
  <si>
    <t>Postgrad weeks</t>
  </si>
  <si>
    <t>Year 1</t>
  </si>
  <si>
    <t>Year 2</t>
  </si>
  <si>
    <t>Year 3</t>
  </si>
  <si>
    <t>Year 4</t>
  </si>
  <si>
    <t>Dependent Unsubsidised</t>
  </si>
  <si>
    <t>Independent Unsubsidised</t>
  </si>
  <si>
    <t xml:space="preserve">Worst case costs at worst exchange </t>
  </si>
  <si>
    <t>and inflated by 10%</t>
  </si>
  <si>
    <t>plus worst origination rates</t>
  </si>
  <si>
    <t>When did you complete this form</t>
  </si>
  <si>
    <t>This form and exchange rates revised</t>
  </si>
  <si>
    <t>Max Loans allowed before review</t>
  </si>
  <si>
    <t>COMPLETE THE YELLOW BOXES ONLY</t>
  </si>
  <si>
    <r>
      <t>Weekly Essential Costs</t>
    </r>
    <r>
      <rPr>
        <b/>
        <sz val="12"/>
        <color indexed="9"/>
        <rFont val="Arial"/>
        <family val="2"/>
      </rPr>
      <t xml:space="preserve"> - School Maximum Estimates - you can adjust the values but may be asked for proofs of your adjusted costs</t>
    </r>
  </si>
  <si>
    <t>School's Estimate per week</t>
  </si>
  <si>
    <t>School's Estimate per Year</t>
  </si>
  <si>
    <t>YOUR ESTIMATED FINAL COSTS &amp; US ED DEPT MAXIMUM LOAN ELIGIBILITY - YOU MAY BORROW LESS IF YOU CHOOSE</t>
  </si>
  <si>
    <t>Private Loan</t>
  </si>
  <si>
    <t>Government Loan</t>
  </si>
  <si>
    <t>Is this application for a Private loan (Sallie Mae), please select from this drop-box</t>
  </si>
  <si>
    <t>What is your best estimate for electricity/gas for a week (use our own home direct debits?)</t>
  </si>
  <si>
    <t>Do NOT put in a date where you don't have a disbursement</t>
  </si>
  <si>
    <t>FOR SCHOOL USE ONLY</t>
  </si>
  <si>
    <t>PG T1</t>
  </si>
  <si>
    <t>PG T2</t>
  </si>
  <si>
    <t>PG T3</t>
  </si>
  <si>
    <t>PG T4</t>
  </si>
  <si>
    <t>The exchange rate is set by a review of High Street banks and selecting the worst possible rate and incrementing it by the worst possible commission. This is sufficient to enable loans to be calculated and originated. Should the rate change unfavourably once the course has started, then the whole Cost of Attendance can be reviewed again. The rate will not be re-assessed until after the end of the registration period.</t>
  </si>
  <si>
    <t>First, Check the prices of all halls of residence and select the highest below self-contained suite. Second, search for the average price of a room in a shared flat and for a studio flat in the close area (use the web and general estate agent searches). Select the higher average price of the two scenarios.</t>
  </si>
  <si>
    <t>Normal cost of one return journey for 7 days or a weekly travel card covering the area, whichever is the greater</t>
  </si>
  <si>
    <t>The Office Manager's 'pocket money' for a week</t>
  </si>
  <si>
    <t>To ensure that your application is as smooth as possible, you must complete the Cost of Attendance spreadsheet and the checklist</t>
  </si>
  <si>
    <t>It  will not be the school's decision to reject your application or to process your loan with things missing</t>
  </si>
  <si>
    <t>If anything on the checklist or spreadsheet is missing or untrue your application will be rejected by the ED Dept's systems</t>
  </si>
  <si>
    <t>What is your estimate for enough pocket money including beer/disco/movie/pizza per week</t>
  </si>
  <si>
    <t>DON'T TOUCH THE BLUE BOXES - They are calculations going to other parts of this workbook</t>
  </si>
  <si>
    <t>School to Complete ONLY the yellow boxes</t>
  </si>
  <si>
    <t>Postgraduates - The loan year will be 365 days</t>
  </si>
  <si>
    <t>Undergraduates - The loan year will be start of academic year to earlier or end of exams or end of final term</t>
  </si>
  <si>
    <t>Cost of a good quality laptop from a local shop plus a printer plus estimate of month broadband charge and rounded</t>
  </si>
  <si>
    <t>Do not write the name of any bank</t>
  </si>
  <si>
    <t>Academic Year Calculations</t>
  </si>
  <si>
    <t>Calculates max allowed before prroof of costs needed</t>
  </si>
  <si>
    <t>Calculates exchange rate for CoA</t>
  </si>
  <si>
    <t>Calculates school CoA</t>
  </si>
  <si>
    <t>These are 13/14 - If you know levels have changed, go to the USDE website and find the loan levels for each type of student</t>
  </si>
  <si>
    <t>Go to the banks near you and collect their exchange rates</t>
  </si>
  <si>
    <t>How much has been awarded by any other Scholarship or Financial Aid from the USA</t>
  </si>
  <si>
    <t>If you are a PhD student starting later in the year, use the tab "late PhD Cost of Attendance"</t>
  </si>
  <si>
    <t>You must complete and send us the spreadsheet "Cost of Attendance" tab</t>
  </si>
  <si>
    <t>Given Name (Forename)</t>
  </si>
  <si>
    <t>How much has already been awarded by the school as a Scholarship or Financial Aid</t>
  </si>
  <si>
    <t>Maximum Govt. Loan you can borrow</t>
  </si>
  <si>
    <t>3 or above</t>
  </si>
  <si>
    <t>Calculates gross loan to cash</t>
  </si>
  <si>
    <t>Loan values eligible</t>
  </si>
  <si>
    <t>The information in the FSA Handbook is confusing so use another site to confirm details</t>
  </si>
  <si>
    <t>Payment periods - terms</t>
  </si>
  <si>
    <t>Indep Undergrad Score</t>
  </si>
  <si>
    <t>Independent Undergraduates do not qualify for a PLUS Loan</t>
  </si>
  <si>
    <t>These are 14/15 - If they've changed, go to the USDE website and check origination/rebates for each loan type and adjust below</t>
  </si>
  <si>
    <t>2014/15</t>
  </si>
  <si>
    <t>Canturbury High Street</t>
  </si>
  <si>
    <t>midweek return Aug 14 and Jan 15 with AA from London to Los Angeles</t>
  </si>
  <si>
    <t>Powerful laptop. Printer and 12 months brodaband charge [PC World March 2014]</t>
  </si>
  <si>
    <t xml:space="preserve">midweek return flight [24 March 2014] Los Angeles to New York </t>
  </si>
  <si>
    <t>MAXIMUM LOAN LEVELS FOR THIS STU</t>
  </si>
  <si>
    <t>Worst possible rate for Retail US Dollar Rate - best guess</t>
  </si>
  <si>
    <t>Your Request  -  you may reduce these values</t>
  </si>
  <si>
    <t>Rates will change again in July 2014</t>
  </si>
  <si>
    <t>*** WARNING</t>
  </si>
  <si>
    <t>The exchange rate is artificially high to ( hopefully) cover origination fee increases</t>
  </si>
  <si>
    <t>EURO</t>
  </si>
  <si>
    <t>Your Request- Euro</t>
  </si>
  <si>
    <t>Enter the Tuition Fees - only write the figures - don't type in the euro  sign as it is already formatted</t>
  </si>
  <si>
    <t>How much of the tuition fees will be paid l by a sponsor (only enter in the $ or euro box - not both)</t>
  </si>
  <si>
    <t>How much has been awarded by any other Scholarship or Financial Aid in Ireland</t>
  </si>
  <si>
    <t xml:space="preserve">Immigration Card </t>
  </si>
  <si>
    <t>Health and Dental Insurance</t>
  </si>
  <si>
    <t xml:space="preserve">Add any other essential costs- write here- only in euro </t>
  </si>
  <si>
    <t>Cost of 3 return flights-write here- only in euro</t>
  </si>
  <si>
    <t xml:space="preserve">for Academic Year 2017-2018 </t>
  </si>
  <si>
    <t>The transfer of funds from ED Dept to our Irish bank and a refund for your living money takes about 14 days.</t>
  </si>
  <si>
    <t>Immigration Card</t>
  </si>
  <si>
    <t>Garda National Immigration Bureau (GNIB) Card</t>
  </si>
  <si>
    <t>Keep all shopping receipts for a month, This covers all the bills for a month for a normal household including all household cleaning materials and all food, alcohol etc. Divide the weekly average by 1 less than are in the household. This is more than enough to cover the food, provisions and power for a single person.</t>
  </si>
  <si>
    <t>Cost of two return flights Dublin/US  travelling at weekends and rounded up by €100 to nearest €100</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</si>
</sst>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
    <numFmt numFmtId="171" formatCode="[$$-409]#,##0"/>
    <numFmt numFmtId="172" formatCode="&quot;£&quot;#,##0.00"/>
    <numFmt numFmtId="173" formatCode="[$$-409]#,##0.00"/>
    <numFmt numFmtId="174" formatCode="#,##0.00_ ;\-#,##0.00\ "/>
    <numFmt numFmtId="175" formatCode="#,##0_ ;\-#,##0\ "/>
    <numFmt numFmtId="176" formatCode="[$$-409]#,##0;[Red][$$-409]#,##0"/>
    <numFmt numFmtId="177" formatCode="&quot;Yes&quot;;&quot;Yes&quot;;&quot;No&quot;"/>
    <numFmt numFmtId="178" formatCode="&quot;True&quot;;&quot;True&quot;;&quot;False&quot;"/>
    <numFmt numFmtId="179" formatCode="&quot;On&quot;;&quot;On&quot;;&quot;Off&quot;"/>
    <numFmt numFmtId="180" formatCode="[$€-2]\ #,##0.00_);[Red]\([$€-2]\ #,##0.00\)"/>
    <numFmt numFmtId="181" formatCode="[$-809]dd\ mmmm\ yyyy"/>
    <numFmt numFmtId="182" formatCode="[$-F800]dddd\,\ mmmm\ dd\,\ yyyy"/>
    <numFmt numFmtId="183" formatCode="[$-809]d\ mmmm\ yyyy;@"/>
    <numFmt numFmtId="184" formatCode="[$$-409]#,##0.000"/>
    <numFmt numFmtId="185" formatCode="[$$-409]#,##0.00;[Red][$$-409]#,##0.00"/>
    <numFmt numFmtId="186" formatCode="0.0000"/>
    <numFmt numFmtId="187" formatCode="0.0%"/>
    <numFmt numFmtId="188" formatCode="[$$-409]#,##0.0000"/>
    <numFmt numFmtId="189" formatCode="dd\-mmm\-yyyy"/>
    <numFmt numFmtId="190" formatCode="#,##0.0000"/>
    <numFmt numFmtId="191" formatCode="mmm\-yyyy"/>
    <numFmt numFmtId="192" formatCode="dd/mm/yyyy;@"/>
    <numFmt numFmtId="193" formatCode="m/d/yy;@"/>
    <numFmt numFmtId="194" formatCode="0.0000%"/>
    <numFmt numFmtId="195" formatCode="[$-1809]dd\ mmmm\ yyyy"/>
  </numFmts>
  <fonts count="109">
    <font>
      <sz val="10"/>
      <name val="Arial"/>
      <family val="0"/>
    </font>
    <font>
      <b/>
      <sz val="10"/>
      <name val="Arial"/>
      <family val="2"/>
    </font>
    <font>
      <b/>
      <sz val="16"/>
      <name val="Arial"/>
      <family val="2"/>
    </font>
    <font>
      <b/>
      <sz val="10"/>
      <color indexed="10"/>
      <name val="Arial"/>
      <family val="2"/>
    </font>
    <font>
      <sz val="8"/>
      <name val="Arial"/>
      <family val="2"/>
    </font>
    <font>
      <sz val="10"/>
      <color indexed="12"/>
      <name val="Arial"/>
      <family val="2"/>
    </font>
    <font>
      <sz val="12"/>
      <name val="Arial"/>
      <family val="2"/>
    </font>
    <font>
      <b/>
      <sz val="12"/>
      <color indexed="9"/>
      <name val="Arial"/>
      <family val="2"/>
    </font>
    <font>
      <b/>
      <sz val="12"/>
      <name val="Arial"/>
      <family val="2"/>
    </font>
    <font>
      <b/>
      <sz val="12"/>
      <color indexed="12"/>
      <name val="Arial"/>
      <family val="2"/>
    </font>
    <font>
      <b/>
      <sz val="14"/>
      <name val="Arial"/>
      <family val="2"/>
    </font>
    <font>
      <b/>
      <sz val="14"/>
      <color indexed="10"/>
      <name val="Arial"/>
      <family val="2"/>
    </font>
    <font>
      <u val="single"/>
      <sz val="7.5"/>
      <color indexed="12"/>
      <name val="Arial"/>
      <family val="2"/>
    </font>
    <font>
      <u val="single"/>
      <sz val="7.5"/>
      <color indexed="36"/>
      <name val="Arial"/>
      <family val="2"/>
    </font>
    <font>
      <b/>
      <sz val="12"/>
      <color indexed="10"/>
      <name val="Arial"/>
      <family val="2"/>
    </font>
    <font>
      <sz val="12"/>
      <color indexed="12"/>
      <name val="Arial"/>
      <family val="2"/>
    </font>
    <font>
      <b/>
      <sz val="10"/>
      <color indexed="15"/>
      <name val="Arial"/>
      <family val="2"/>
    </font>
    <font>
      <sz val="10"/>
      <name val="Times New Roman"/>
      <family val="1"/>
    </font>
    <font>
      <sz val="14"/>
      <color indexed="10"/>
      <name val="Arial"/>
      <family val="2"/>
    </font>
    <font>
      <b/>
      <sz val="14"/>
      <color indexed="12"/>
      <name val="Arial"/>
      <family val="2"/>
    </font>
    <font>
      <b/>
      <sz val="16"/>
      <color indexed="10"/>
      <name val="Arial"/>
      <family val="2"/>
    </font>
    <font>
      <b/>
      <sz val="10"/>
      <color indexed="10"/>
      <name val="Times New Roman"/>
      <family val="1"/>
    </font>
    <font>
      <b/>
      <sz val="12"/>
      <color indexed="10"/>
      <name val="Times New Roman"/>
      <family val="1"/>
    </font>
    <font>
      <b/>
      <sz val="12"/>
      <color indexed="12"/>
      <name val="Times New Roman"/>
      <family val="1"/>
    </font>
    <font>
      <sz val="10"/>
      <color indexed="10"/>
      <name val="Times New Roman"/>
      <family val="1"/>
    </font>
    <font>
      <sz val="10"/>
      <color indexed="12"/>
      <name val="Times New Roman"/>
      <family val="1"/>
    </font>
    <font>
      <sz val="10"/>
      <color indexed="9"/>
      <name val="Times New Roman"/>
      <family val="1"/>
    </font>
    <font>
      <b/>
      <sz val="10"/>
      <color indexed="12"/>
      <name val="Times New Roman"/>
      <family val="1"/>
    </font>
    <font>
      <b/>
      <sz val="10"/>
      <color indexed="48"/>
      <name val="Times New Roman"/>
      <family val="1"/>
    </font>
    <font>
      <b/>
      <u val="single"/>
      <sz val="12"/>
      <color indexed="10"/>
      <name val="Times New Roman"/>
      <family val="1"/>
    </font>
    <font>
      <b/>
      <u val="single"/>
      <sz val="10"/>
      <color indexed="10"/>
      <name val="Times New Roman"/>
      <family val="1"/>
    </font>
    <font>
      <b/>
      <sz val="14"/>
      <color indexed="12"/>
      <name val="Times New Roman"/>
      <family val="1"/>
    </font>
    <font>
      <b/>
      <sz val="10"/>
      <color indexed="48"/>
      <name val="Arial"/>
      <family val="2"/>
    </font>
    <font>
      <b/>
      <sz val="12"/>
      <color indexed="13"/>
      <name val="Arial"/>
      <family val="2"/>
    </font>
    <font>
      <b/>
      <sz val="10"/>
      <color indexed="13"/>
      <name val="Arial"/>
      <family val="2"/>
    </font>
    <font>
      <u val="single"/>
      <sz val="12"/>
      <color indexed="12"/>
      <name val="Arial"/>
      <family val="2"/>
    </font>
    <font>
      <b/>
      <u val="single"/>
      <sz val="10"/>
      <color indexed="13"/>
      <name val="Times New Roman"/>
      <family val="1"/>
    </font>
    <font>
      <sz val="10"/>
      <color indexed="13"/>
      <name val="Times New Roman"/>
      <family val="1"/>
    </font>
    <font>
      <b/>
      <sz val="16"/>
      <color indexed="13"/>
      <name val="Times New Roman"/>
      <family val="1"/>
    </font>
    <font>
      <sz val="16"/>
      <name val="Times New Roman"/>
      <family val="1"/>
    </font>
    <font>
      <b/>
      <sz val="16"/>
      <color indexed="17"/>
      <name val="Arial"/>
      <family val="2"/>
    </font>
    <font>
      <b/>
      <sz val="10"/>
      <color indexed="17"/>
      <name val="Arial"/>
      <family val="2"/>
    </font>
    <font>
      <sz val="10"/>
      <color indexed="17"/>
      <name val="Arial"/>
      <family val="2"/>
    </font>
    <font>
      <b/>
      <sz val="12"/>
      <color indexed="17"/>
      <name val="Arial"/>
      <family val="2"/>
    </font>
    <font>
      <sz val="12"/>
      <color indexed="17"/>
      <name val="Arial"/>
      <family val="2"/>
    </font>
    <font>
      <b/>
      <sz val="14"/>
      <color indexed="17"/>
      <name val="Arial"/>
      <family val="2"/>
    </font>
    <font>
      <b/>
      <sz val="16"/>
      <color indexed="10"/>
      <name val="Times New Roman"/>
      <family val="1"/>
    </font>
    <font>
      <sz val="10"/>
      <color indexed="10"/>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Arial"/>
      <family val="2"/>
    </font>
    <font>
      <b/>
      <sz val="16"/>
      <color indexed="9"/>
      <name val="Arial"/>
      <family val="2"/>
    </font>
    <font>
      <b/>
      <sz val="10"/>
      <color indexed="9"/>
      <name val="Arial"/>
      <family val="2"/>
    </font>
    <font>
      <b/>
      <i/>
      <sz val="8"/>
      <color indexed="9"/>
      <name val="Arial"/>
      <family val="2"/>
    </font>
    <font>
      <b/>
      <sz val="8"/>
      <color indexed="9"/>
      <name val="Arial"/>
      <family val="2"/>
    </font>
    <font>
      <b/>
      <u val="single"/>
      <sz val="10"/>
      <color indexed="9"/>
      <name val="Arial"/>
      <family val="2"/>
    </font>
    <font>
      <sz val="10"/>
      <color indexed="9"/>
      <name val="Arial"/>
      <family val="2"/>
    </font>
    <font>
      <b/>
      <u val="single"/>
      <sz val="12"/>
      <color indexed="9"/>
      <name val="Arial"/>
      <family val="2"/>
    </font>
    <font>
      <sz val="12"/>
      <color indexed="9"/>
      <name val="Arial"/>
      <family val="2"/>
    </font>
    <font>
      <b/>
      <sz val="14"/>
      <color indexed="9"/>
      <name val="Arial"/>
      <family val="2"/>
    </font>
    <font>
      <sz val="10"/>
      <color indexed="47"/>
      <name val="Arial"/>
      <family val="2"/>
    </font>
    <font>
      <sz val="8"/>
      <name val="Segoe UI"/>
      <family val="2"/>
    </font>
    <font>
      <b/>
      <u val="single"/>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6"/>
      <color theme="0"/>
      <name val="Arial"/>
      <family val="2"/>
    </font>
    <font>
      <b/>
      <sz val="16"/>
      <color theme="0"/>
      <name val="Arial"/>
      <family val="2"/>
    </font>
    <font>
      <b/>
      <sz val="10"/>
      <color theme="0"/>
      <name val="Arial"/>
      <family val="2"/>
    </font>
    <font>
      <b/>
      <i/>
      <sz val="8"/>
      <color theme="0"/>
      <name val="Arial"/>
      <family val="2"/>
    </font>
    <font>
      <b/>
      <sz val="8"/>
      <color theme="0"/>
      <name val="Arial"/>
      <family val="2"/>
    </font>
    <font>
      <b/>
      <u val="single"/>
      <sz val="10"/>
      <color theme="0"/>
      <name val="Arial"/>
      <family val="2"/>
    </font>
    <font>
      <sz val="10"/>
      <color theme="0"/>
      <name val="Arial"/>
      <family val="2"/>
    </font>
    <font>
      <b/>
      <sz val="12"/>
      <color theme="0"/>
      <name val="Arial"/>
      <family val="2"/>
    </font>
    <font>
      <b/>
      <u val="single"/>
      <sz val="12"/>
      <color theme="0"/>
      <name val="Arial"/>
      <family val="2"/>
    </font>
    <font>
      <sz val="12"/>
      <color theme="0"/>
      <name val="Arial"/>
      <family val="2"/>
    </font>
    <font>
      <b/>
      <sz val="14"/>
      <color theme="0"/>
      <name val="Arial"/>
      <family val="2"/>
    </font>
    <font>
      <sz val="10"/>
      <color theme="9" tint="0.7999799847602844"/>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48"/>
        <bgColor indexed="64"/>
      </patternFill>
    </fill>
    <fill>
      <patternFill patternType="solid">
        <fgColor indexed="12"/>
        <bgColor indexed="64"/>
      </patternFill>
    </fill>
    <fill>
      <patternFill patternType="solid">
        <fgColor theme="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5" fillId="0" borderId="0" applyNumberFormat="0" applyFill="0" applyBorder="0" applyAlignment="0" applyProtection="0"/>
    <xf numFmtId="0" fontId="13"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12"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365">
    <xf numFmtId="0" fontId="0" fillId="0" borderId="0" xfId="0" applyAlignment="1">
      <alignment/>
    </xf>
    <xf numFmtId="1" fontId="2" fillId="0" borderId="0" xfId="42" applyNumberFormat="1" applyFont="1" applyAlignment="1" applyProtection="1">
      <alignment horizontal="center"/>
      <protection/>
    </xf>
    <xf numFmtId="43" fontId="2" fillId="0" borderId="0" xfId="42" applyFont="1" applyAlignment="1" applyProtection="1">
      <alignment horizontal="right"/>
      <protection/>
    </xf>
    <xf numFmtId="43" fontId="2" fillId="0" borderId="0" xfId="42" applyFont="1" applyAlignment="1" applyProtection="1">
      <alignment horizontal="center"/>
      <protection/>
    </xf>
    <xf numFmtId="0" fontId="2" fillId="0" borderId="0" xfId="0" applyFont="1" applyAlignment="1" applyProtection="1">
      <alignment horizontal="center"/>
      <protection/>
    </xf>
    <xf numFmtId="1" fontId="1" fillId="0" borderId="0" xfId="42" applyNumberFormat="1" applyFont="1" applyAlignment="1" applyProtection="1">
      <alignment horizontal="center"/>
      <protection/>
    </xf>
    <xf numFmtId="43" fontId="3" fillId="0" borderId="0" xfId="42" applyFont="1" applyAlignment="1" applyProtection="1">
      <alignment horizontal="right"/>
      <protection/>
    </xf>
    <xf numFmtId="43" fontId="1" fillId="0" borderId="0" xfId="42" applyFont="1" applyAlignment="1" applyProtection="1">
      <alignment horizontal="center"/>
      <protection/>
    </xf>
    <xf numFmtId="0" fontId="1" fillId="0" borderId="0" xfId="0" applyFont="1" applyAlignment="1" applyProtection="1">
      <alignment horizontal="center"/>
      <protection/>
    </xf>
    <xf numFmtId="43" fontId="0" fillId="0" borderId="0" xfId="42" applyFont="1" applyAlignment="1" applyProtection="1">
      <alignment horizontal="right"/>
      <protection/>
    </xf>
    <xf numFmtId="43" fontId="1" fillId="0" borderId="0" xfId="42" applyFont="1" applyAlignment="1" applyProtection="1">
      <alignment horizontal="right"/>
      <protection/>
    </xf>
    <xf numFmtId="175" fontId="0" fillId="0" borderId="0" xfId="42" applyNumberFormat="1" applyFont="1" applyAlignment="1" applyProtection="1">
      <alignment horizontal="right"/>
      <protection/>
    </xf>
    <xf numFmtId="1" fontId="0" fillId="0" borderId="0" xfId="42" applyNumberFormat="1" applyFont="1" applyAlignment="1" applyProtection="1">
      <alignment horizontal="center"/>
      <protection/>
    </xf>
    <xf numFmtId="43" fontId="0" fillId="0" borderId="0" xfId="42" applyFont="1" applyAlignment="1" applyProtection="1">
      <alignment/>
      <protection/>
    </xf>
    <xf numFmtId="43" fontId="0" fillId="0" borderId="0" xfId="42" applyFont="1" applyAlignment="1" applyProtection="1">
      <alignment horizontal="center"/>
      <protection/>
    </xf>
    <xf numFmtId="0" fontId="0" fillId="0" borderId="0" xfId="0" applyAlignment="1" applyProtection="1">
      <alignment horizontal="center"/>
      <protection/>
    </xf>
    <xf numFmtId="1" fontId="7" fillId="33" borderId="10" xfId="42" applyNumberFormat="1" applyFont="1" applyFill="1" applyBorder="1" applyAlignment="1" applyProtection="1">
      <alignment horizontal="center"/>
      <protection/>
    </xf>
    <xf numFmtId="0" fontId="0" fillId="33" borderId="11" xfId="0" applyFill="1" applyBorder="1" applyAlignment="1" applyProtection="1">
      <alignment horizontal="center"/>
      <protection/>
    </xf>
    <xf numFmtId="1" fontId="0" fillId="34" borderId="12" xfId="42" applyNumberFormat="1" applyFont="1" applyFill="1" applyBorder="1" applyAlignment="1" applyProtection="1">
      <alignment horizontal="center"/>
      <protection/>
    </xf>
    <xf numFmtId="43" fontId="0" fillId="34" borderId="0" xfId="42" applyFont="1" applyFill="1" applyBorder="1" applyAlignment="1" applyProtection="1">
      <alignment/>
      <protection/>
    </xf>
    <xf numFmtId="43" fontId="0" fillId="34" borderId="0" xfId="42" applyFont="1" applyFill="1" applyBorder="1" applyAlignment="1" applyProtection="1">
      <alignment horizontal="center"/>
      <protection/>
    </xf>
    <xf numFmtId="0" fontId="0" fillId="34" borderId="13" xfId="0" applyFill="1" applyBorder="1" applyAlignment="1" applyProtection="1">
      <alignment horizontal="center"/>
      <protection/>
    </xf>
    <xf numFmtId="1" fontId="6" fillId="0" borderId="12" xfId="42" applyNumberFormat="1" applyFont="1" applyBorder="1" applyAlignment="1" applyProtection="1">
      <alignment horizontal="center"/>
      <protection/>
    </xf>
    <xf numFmtId="43" fontId="6" fillId="34" borderId="0" xfId="42" applyFont="1" applyFill="1" applyBorder="1" applyAlignment="1" applyProtection="1">
      <alignment horizontal="center"/>
      <protection/>
    </xf>
    <xf numFmtId="0" fontId="6" fillId="34" borderId="13" xfId="0" applyFont="1" applyFill="1" applyBorder="1" applyAlignment="1" applyProtection="1">
      <alignment horizontal="center"/>
      <protection/>
    </xf>
    <xf numFmtId="43" fontId="0" fillId="0" borderId="0" xfId="42" applyFont="1" applyBorder="1" applyAlignment="1" applyProtection="1">
      <alignment/>
      <protection/>
    </xf>
    <xf numFmtId="3" fontId="0" fillId="34" borderId="13" xfId="0" applyNumberFormat="1" applyFill="1" applyBorder="1" applyAlignment="1" applyProtection="1">
      <alignment horizontal="center"/>
      <protection/>
    </xf>
    <xf numFmtId="176" fontId="0" fillId="34" borderId="13" xfId="0" applyNumberFormat="1" applyFill="1" applyBorder="1" applyAlignment="1" applyProtection="1">
      <alignment horizontal="center"/>
      <protection/>
    </xf>
    <xf numFmtId="1" fontId="0" fillId="34" borderId="14" xfId="42" applyNumberFormat="1" applyFont="1" applyFill="1" applyBorder="1" applyAlignment="1" applyProtection="1">
      <alignment horizontal="center"/>
      <protection/>
    </xf>
    <xf numFmtId="170" fontId="5" fillId="34" borderId="15" xfId="42" applyNumberFormat="1" applyFont="1" applyFill="1" applyBorder="1" applyAlignment="1" applyProtection="1">
      <alignment horizontal="center"/>
      <protection/>
    </xf>
    <xf numFmtId="170" fontId="5" fillId="0" borderId="0" xfId="42" applyNumberFormat="1" applyFont="1" applyAlignment="1" applyProtection="1">
      <alignment horizontal="center"/>
      <protection/>
    </xf>
    <xf numFmtId="3" fontId="0" fillId="0" borderId="0" xfId="0" applyNumberFormat="1" applyAlignment="1" applyProtection="1">
      <alignment horizontal="center"/>
      <protection/>
    </xf>
    <xf numFmtId="170" fontId="7" fillId="33" borderId="16" xfId="42" applyNumberFormat="1" applyFont="1" applyFill="1" applyBorder="1" applyAlignment="1" applyProtection="1">
      <alignment horizontal="center"/>
      <protection/>
    </xf>
    <xf numFmtId="3" fontId="7" fillId="33" borderId="11" xfId="0" applyNumberFormat="1" applyFont="1" applyFill="1" applyBorder="1" applyAlignment="1" applyProtection="1">
      <alignment horizontal="center"/>
      <protection/>
    </xf>
    <xf numFmtId="170" fontId="0" fillId="34" borderId="17" xfId="42" applyNumberFormat="1" applyFont="1" applyFill="1" applyBorder="1" applyAlignment="1" applyProtection="1">
      <alignment horizontal="center"/>
      <protection/>
    </xf>
    <xf numFmtId="3" fontId="0" fillId="34" borderId="18" xfId="0" applyNumberFormat="1" applyFill="1" applyBorder="1" applyAlignment="1" applyProtection="1">
      <alignment horizontal="center"/>
      <protection/>
    </xf>
    <xf numFmtId="1" fontId="0" fillId="0" borderId="0" xfId="42" applyNumberFormat="1" applyFont="1" applyFill="1" applyAlignment="1" applyProtection="1">
      <alignment horizontal="center"/>
      <protection/>
    </xf>
    <xf numFmtId="170" fontId="0" fillId="0" borderId="0" xfId="42" applyNumberFormat="1" applyFont="1" applyAlignment="1" applyProtection="1">
      <alignment horizontal="center"/>
      <protection/>
    </xf>
    <xf numFmtId="3" fontId="0" fillId="0" borderId="0" xfId="42" applyNumberFormat="1" applyFont="1" applyAlignment="1" applyProtection="1">
      <alignment horizontal="center"/>
      <protection/>
    </xf>
    <xf numFmtId="1" fontId="7" fillId="33" borderId="0" xfId="42" applyNumberFormat="1" applyFont="1" applyFill="1" applyAlignment="1" applyProtection="1">
      <alignment horizontal="center"/>
      <protection/>
    </xf>
    <xf numFmtId="43" fontId="7" fillId="33" borderId="0" xfId="42" applyFont="1" applyFill="1" applyAlignment="1" applyProtection="1">
      <alignment horizontal="center"/>
      <protection/>
    </xf>
    <xf numFmtId="3" fontId="7" fillId="33" borderId="0" xfId="42" applyNumberFormat="1" applyFont="1" applyFill="1" applyAlignment="1" applyProtection="1">
      <alignment horizontal="center"/>
      <protection/>
    </xf>
    <xf numFmtId="3" fontId="7" fillId="33" borderId="0" xfId="0" applyNumberFormat="1" applyFont="1" applyFill="1" applyAlignment="1" applyProtection="1">
      <alignment horizontal="center"/>
      <protection/>
    </xf>
    <xf numFmtId="3" fontId="2" fillId="0" borderId="0" xfId="0" applyNumberFormat="1" applyFont="1" applyAlignment="1" applyProtection="1">
      <alignment horizontal="center"/>
      <protection/>
    </xf>
    <xf numFmtId="0" fontId="0" fillId="0" borderId="0" xfId="0" applyAlignment="1" applyProtection="1">
      <alignment/>
      <protection/>
    </xf>
    <xf numFmtId="0" fontId="7" fillId="33" borderId="19" xfId="0" applyFont="1" applyFill="1" applyBorder="1" applyAlignment="1" applyProtection="1">
      <alignment horizontal="center"/>
      <protection/>
    </xf>
    <xf numFmtId="43" fontId="0" fillId="0" borderId="0" xfId="42" applyFont="1" applyBorder="1" applyAlignment="1" applyProtection="1">
      <alignment vertical="top" wrapText="1"/>
      <protection/>
    </xf>
    <xf numFmtId="1" fontId="6" fillId="0" borderId="12" xfId="42" applyNumberFormat="1" applyFont="1" applyFill="1" applyBorder="1" applyAlignment="1" applyProtection="1">
      <alignment horizontal="center"/>
      <protection/>
    </xf>
    <xf numFmtId="1" fontId="6" fillId="0" borderId="0" xfId="42" applyNumberFormat="1" applyFont="1" applyAlignment="1" applyProtection="1">
      <alignment horizontal="center"/>
      <protection/>
    </xf>
    <xf numFmtId="1" fontId="11" fillId="0" borderId="12" xfId="0" applyNumberFormat="1" applyFont="1" applyBorder="1" applyAlignment="1" applyProtection="1">
      <alignment horizontal="center"/>
      <protection/>
    </xf>
    <xf numFmtId="0" fontId="11" fillId="0" borderId="0" xfId="0" applyFont="1" applyBorder="1" applyAlignment="1" applyProtection="1">
      <alignment horizontal="center"/>
      <protection/>
    </xf>
    <xf numFmtId="1" fontId="11" fillId="0" borderId="14" xfId="0" applyNumberFormat="1" applyFont="1" applyBorder="1" applyAlignment="1" applyProtection="1">
      <alignment horizontal="center"/>
      <protection/>
    </xf>
    <xf numFmtId="0" fontId="11" fillId="0" borderId="15" xfId="0" applyFont="1" applyBorder="1" applyAlignment="1" applyProtection="1">
      <alignment horizontal="center"/>
      <protection/>
    </xf>
    <xf numFmtId="173" fontId="6" fillId="0" borderId="0" xfId="0" applyNumberFormat="1" applyFont="1" applyAlignment="1" applyProtection="1">
      <alignment horizontal="center"/>
      <protection/>
    </xf>
    <xf numFmtId="173" fontId="8" fillId="0" borderId="0" xfId="0" applyNumberFormat="1" applyFont="1" applyAlignment="1" applyProtection="1">
      <alignment horizontal="center"/>
      <protection/>
    </xf>
    <xf numFmtId="173" fontId="7" fillId="33" borderId="19" xfId="0" applyNumberFormat="1" applyFont="1" applyFill="1" applyBorder="1" applyAlignment="1" applyProtection="1">
      <alignment horizontal="center"/>
      <protection/>
    </xf>
    <xf numFmtId="173" fontId="7" fillId="33" borderId="11" xfId="0" applyNumberFormat="1" applyFont="1" applyFill="1" applyBorder="1" applyAlignment="1" applyProtection="1">
      <alignment horizontal="center"/>
      <protection/>
    </xf>
    <xf numFmtId="173" fontId="14" fillId="0" borderId="0" xfId="0" applyNumberFormat="1" applyFont="1" applyBorder="1" applyAlignment="1" applyProtection="1">
      <alignment horizontal="center"/>
      <protection/>
    </xf>
    <xf numFmtId="173" fontId="14" fillId="0" borderId="13" xfId="0" applyNumberFormat="1" applyFont="1" applyBorder="1" applyAlignment="1" applyProtection="1">
      <alignment horizontal="center"/>
      <protection/>
    </xf>
    <xf numFmtId="173" fontId="14" fillId="0" borderId="15" xfId="0" applyNumberFormat="1" applyFont="1" applyBorder="1" applyAlignment="1" applyProtection="1">
      <alignment horizontal="center"/>
      <protection/>
    </xf>
    <xf numFmtId="173" fontId="14" fillId="0" borderId="18" xfId="0" applyNumberFormat="1" applyFont="1" applyBorder="1" applyAlignment="1" applyProtection="1">
      <alignment horizontal="center"/>
      <protection/>
    </xf>
    <xf numFmtId="1" fontId="6" fillId="0" borderId="0" xfId="0" applyNumberFormat="1" applyFont="1" applyAlignment="1" applyProtection="1">
      <alignment horizontal="center"/>
      <protection/>
    </xf>
    <xf numFmtId="1" fontId="0" fillId="0" borderId="0" xfId="0" applyNumberFormat="1" applyAlignment="1" applyProtection="1">
      <alignment horizontal="center"/>
      <protection/>
    </xf>
    <xf numFmtId="43" fontId="2" fillId="0" borderId="0" xfId="42" applyFont="1" applyFill="1" applyBorder="1" applyAlignment="1" applyProtection="1">
      <alignment/>
      <protection/>
    </xf>
    <xf numFmtId="43" fontId="2" fillId="0" borderId="0" xfId="42" applyFont="1" applyAlignment="1" applyProtection="1">
      <alignment/>
      <protection/>
    </xf>
    <xf numFmtId="0" fontId="0" fillId="0" borderId="0" xfId="0" applyBorder="1" applyAlignment="1" applyProtection="1">
      <alignment horizontal="center"/>
      <protection locked="0"/>
    </xf>
    <xf numFmtId="0" fontId="8" fillId="0" borderId="0" xfId="0" applyFont="1" applyAlignment="1">
      <alignment/>
    </xf>
    <xf numFmtId="0" fontId="18" fillId="0" borderId="0" xfId="0" applyFont="1" applyAlignment="1">
      <alignment/>
    </xf>
    <xf numFmtId="0" fontId="3" fillId="0" borderId="0" xfId="0" applyFont="1" applyAlignment="1">
      <alignment/>
    </xf>
    <xf numFmtId="1" fontId="7" fillId="33" borderId="19" xfId="42" applyNumberFormat="1" applyFont="1" applyFill="1" applyBorder="1" applyAlignment="1" applyProtection="1">
      <alignment horizontal="center"/>
      <protection/>
    </xf>
    <xf numFmtId="1" fontId="0" fillId="34" borderId="0" xfId="42" applyNumberFormat="1" applyFont="1" applyFill="1" applyBorder="1" applyAlignment="1" applyProtection="1">
      <alignment horizontal="center"/>
      <protection/>
    </xf>
    <xf numFmtId="1" fontId="6" fillId="0" borderId="0" xfId="42" applyNumberFormat="1" applyFont="1" applyBorder="1" applyAlignment="1" applyProtection="1">
      <alignment horizontal="center"/>
      <protection/>
    </xf>
    <xf numFmtId="1" fontId="6" fillId="0" borderId="0" xfId="42" applyNumberFormat="1" applyFont="1" applyFill="1" applyBorder="1" applyAlignment="1" applyProtection="1">
      <alignment horizontal="center"/>
      <protection/>
    </xf>
    <xf numFmtId="1" fontId="1" fillId="0" borderId="0" xfId="42" applyNumberFormat="1" applyFont="1" applyBorder="1" applyAlignment="1" applyProtection="1">
      <alignment horizontal="center"/>
      <protection/>
    </xf>
    <xf numFmtId="1" fontId="0" fillId="34" borderId="15" xfId="42" applyNumberFormat="1" applyFont="1" applyFill="1" applyBorder="1" applyAlignment="1" applyProtection="1">
      <alignment horizontal="center"/>
      <protection/>
    </xf>
    <xf numFmtId="1" fontId="11" fillId="0" borderId="0" xfId="0" applyNumberFormat="1" applyFont="1" applyBorder="1" applyAlignment="1" applyProtection="1">
      <alignment horizontal="center"/>
      <protection/>
    </xf>
    <xf numFmtId="1" fontId="11" fillId="0" borderId="15" xfId="0" applyNumberFormat="1" applyFont="1" applyBorder="1" applyAlignment="1" applyProtection="1">
      <alignment horizontal="center"/>
      <protection/>
    </xf>
    <xf numFmtId="0" fontId="0" fillId="0" borderId="0" xfId="0" applyAlignment="1">
      <alignment vertical="center" wrapText="1"/>
    </xf>
    <xf numFmtId="0" fontId="1" fillId="0" borderId="0" xfId="0" applyFont="1" applyAlignment="1">
      <alignment vertical="center" wrapText="1"/>
    </xf>
    <xf numFmtId="0" fontId="11" fillId="0" borderId="0" xfId="0" applyFont="1" applyAlignment="1">
      <alignment vertical="center" wrapText="1"/>
    </xf>
    <xf numFmtId="0" fontId="11" fillId="0" borderId="0" xfId="0" applyFont="1" applyAlignment="1">
      <alignment/>
    </xf>
    <xf numFmtId="0" fontId="11" fillId="0" borderId="0" xfId="0" applyFont="1" applyAlignment="1">
      <alignment vertical="center"/>
    </xf>
    <xf numFmtId="0" fontId="0" fillId="0" borderId="0" xfId="0" applyAlignment="1">
      <alignment vertical="center"/>
    </xf>
    <xf numFmtId="43" fontId="0" fillId="0" borderId="20" xfId="42" applyFont="1" applyBorder="1" applyAlignment="1" applyProtection="1">
      <alignment vertical="center"/>
      <protection/>
    </xf>
    <xf numFmtId="43" fontId="0" fillId="0" borderId="0" xfId="42" applyFont="1" applyAlignment="1" applyProtection="1">
      <alignment horizontal="left" indent="11"/>
      <protection/>
    </xf>
    <xf numFmtId="182" fontId="0" fillId="0" borderId="0" xfId="0" applyNumberFormat="1" applyAlignment="1" applyProtection="1">
      <alignment horizontal="center"/>
      <protection/>
    </xf>
    <xf numFmtId="43" fontId="2" fillId="0" borderId="0" xfId="42" applyFont="1" applyFill="1" applyBorder="1" applyAlignment="1" applyProtection="1">
      <alignment horizontal="center"/>
      <protection/>
    </xf>
    <xf numFmtId="173" fontId="0" fillId="0" borderId="0" xfId="42" applyNumberFormat="1" applyFont="1" applyAlignment="1" applyProtection="1">
      <alignment horizontal="center"/>
      <protection/>
    </xf>
    <xf numFmtId="43" fontId="0" fillId="0" borderId="21" xfId="42" applyFont="1" applyBorder="1" applyAlignment="1" applyProtection="1">
      <alignment horizontal="left" indent="11"/>
      <protection/>
    </xf>
    <xf numFmtId="173" fontId="0" fillId="0" borderId="21" xfId="42" applyNumberFormat="1" applyFont="1" applyBorder="1" applyAlignment="1" applyProtection="1">
      <alignment horizontal="center"/>
      <protection/>
    </xf>
    <xf numFmtId="43" fontId="1" fillId="0" borderId="22" xfId="42" applyFont="1" applyBorder="1" applyAlignment="1" applyProtection="1">
      <alignment horizontal="left" indent="11"/>
      <protection/>
    </xf>
    <xf numFmtId="173" fontId="1" fillId="0" borderId="22" xfId="42" applyNumberFormat="1" applyFont="1" applyBorder="1" applyAlignment="1" applyProtection="1">
      <alignment horizontal="center"/>
      <protection/>
    </xf>
    <xf numFmtId="43" fontId="0" fillId="0" borderId="0" xfId="42" applyFont="1" applyBorder="1" applyAlignment="1" applyProtection="1">
      <alignment horizontal="left" indent="11"/>
      <protection/>
    </xf>
    <xf numFmtId="173" fontId="0" fillId="0" borderId="0" xfId="42" applyNumberFormat="1" applyFont="1" applyBorder="1" applyAlignment="1" applyProtection="1">
      <alignment horizontal="center"/>
      <protection/>
    </xf>
    <xf numFmtId="1" fontId="0" fillId="0" borderId="0" xfId="42" applyNumberFormat="1" applyFont="1" applyBorder="1" applyAlignment="1" applyProtection="1">
      <alignment horizontal="center"/>
      <protection/>
    </xf>
    <xf numFmtId="43" fontId="7" fillId="33" borderId="0" xfId="42" applyFont="1" applyFill="1" applyBorder="1" applyAlignment="1" applyProtection="1">
      <alignment horizontal="left"/>
      <protection/>
    </xf>
    <xf numFmtId="170" fontId="7" fillId="33" borderId="0" xfId="42" applyNumberFormat="1" applyFont="1" applyFill="1" applyBorder="1" applyAlignment="1" applyProtection="1">
      <alignment horizontal="center"/>
      <protection/>
    </xf>
    <xf numFmtId="43" fontId="7" fillId="33" borderId="0" xfId="42" applyFont="1" applyFill="1" applyBorder="1" applyAlignment="1" applyProtection="1">
      <alignment horizontal="center"/>
      <protection/>
    </xf>
    <xf numFmtId="43" fontId="0" fillId="0" borderId="0" xfId="42" applyFont="1" applyBorder="1" applyAlignment="1" applyProtection="1">
      <alignment horizontal="right"/>
      <protection/>
    </xf>
    <xf numFmtId="43" fontId="1" fillId="0" borderId="0" xfId="42" applyFont="1" applyBorder="1" applyAlignment="1" applyProtection="1">
      <alignment horizontal="right"/>
      <protection/>
    </xf>
    <xf numFmtId="1" fontId="0" fillId="0" borderId="0" xfId="42" applyNumberFormat="1" applyFont="1" applyFill="1" applyBorder="1" applyAlignment="1" applyProtection="1">
      <alignment horizontal="center"/>
      <protection/>
    </xf>
    <xf numFmtId="0" fontId="0" fillId="0" borderId="0" xfId="0" applyAlignment="1" applyProtection="1">
      <alignment/>
      <protection locked="0"/>
    </xf>
    <xf numFmtId="0" fontId="21" fillId="0" borderId="0" xfId="0" applyFont="1" applyAlignment="1">
      <alignment/>
    </xf>
    <xf numFmtId="0" fontId="17" fillId="0" borderId="0" xfId="0" applyFont="1" applyAlignment="1">
      <alignment/>
    </xf>
    <xf numFmtId="0" fontId="23" fillId="0" borderId="0" xfId="0" applyFont="1" applyAlignment="1">
      <alignment/>
    </xf>
    <xf numFmtId="0" fontId="27" fillId="0" borderId="0" xfId="0" applyFont="1" applyAlignment="1">
      <alignment/>
    </xf>
    <xf numFmtId="0" fontId="31" fillId="0" borderId="0" xfId="0" applyFont="1" applyAlignment="1">
      <alignment/>
    </xf>
    <xf numFmtId="0" fontId="17" fillId="0" borderId="0" xfId="0" applyFont="1" applyAlignment="1">
      <alignment horizontal="left" indent="5"/>
    </xf>
    <xf numFmtId="0" fontId="21" fillId="0" borderId="0" xfId="0" applyFont="1" applyAlignment="1">
      <alignment horizontal="left" indent="5"/>
    </xf>
    <xf numFmtId="0" fontId="23" fillId="0" borderId="0" xfId="0" applyFont="1" applyAlignment="1">
      <alignment horizontal="left"/>
    </xf>
    <xf numFmtId="0" fontId="27" fillId="0" borderId="0" xfId="0" applyFont="1" applyAlignment="1">
      <alignment horizontal="left" indent="5"/>
    </xf>
    <xf numFmtId="1" fontId="7" fillId="33" borderId="12" xfId="42" applyNumberFormat="1" applyFont="1" applyFill="1" applyBorder="1" applyAlignment="1" applyProtection="1">
      <alignment horizontal="center"/>
      <protection/>
    </xf>
    <xf numFmtId="182" fontId="32" fillId="0" borderId="0" xfId="42" applyNumberFormat="1" applyFont="1" applyAlignment="1" applyProtection="1">
      <alignment/>
      <protection/>
    </xf>
    <xf numFmtId="182" fontId="32" fillId="0" borderId="0" xfId="0" applyNumberFormat="1" applyFont="1" applyAlignment="1" applyProtection="1">
      <alignment/>
      <protection/>
    </xf>
    <xf numFmtId="0" fontId="1" fillId="0" borderId="0" xfId="0" applyFont="1" applyAlignment="1" applyProtection="1">
      <alignment/>
      <protection/>
    </xf>
    <xf numFmtId="43" fontId="19" fillId="35" borderId="19" xfId="42" applyFont="1" applyFill="1" applyBorder="1" applyAlignment="1" applyProtection="1">
      <alignment horizontal="center"/>
      <protection/>
    </xf>
    <xf numFmtId="43" fontId="0" fillId="35" borderId="19" xfId="42" applyFont="1" applyFill="1" applyBorder="1" applyAlignment="1" applyProtection="1">
      <alignment horizontal="center"/>
      <protection/>
    </xf>
    <xf numFmtId="43" fontId="9" fillId="35" borderId="0" xfId="42" applyFont="1" applyFill="1" applyBorder="1" applyAlignment="1" applyProtection="1">
      <alignment horizontal="center"/>
      <protection locked="0"/>
    </xf>
    <xf numFmtId="49" fontId="9" fillId="35" borderId="0" xfId="42" applyNumberFormat="1" applyFont="1" applyFill="1" applyBorder="1" applyAlignment="1" applyProtection="1">
      <alignment horizontal="center"/>
      <protection locked="0"/>
    </xf>
    <xf numFmtId="49" fontId="15" fillId="35" borderId="0" xfId="0" applyNumberFormat="1" applyFont="1" applyFill="1" applyBorder="1" applyAlignment="1" applyProtection="1">
      <alignment horizontal="center"/>
      <protection locked="0"/>
    </xf>
    <xf numFmtId="43" fontId="5" fillId="35" borderId="0" xfId="42" applyFont="1" applyFill="1" applyBorder="1" applyAlignment="1" applyProtection="1">
      <alignment horizontal="center"/>
      <protection locked="0"/>
    </xf>
    <xf numFmtId="175" fontId="5" fillId="35" borderId="0" xfId="42" applyNumberFormat="1" applyFont="1" applyFill="1" applyBorder="1" applyAlignment="1" applyProtection="1">
      <alignment horizontal="center"/>
      <protection locked="0"/>
    </xf>
    <xf numFmtId="3" fontId="5" fillId="35" borderId="0" xfId="42" applyNumberFormat="1" applyFont="1" applyFill="1" applyBorder="1" applyAlignment="1" applyProtection="1">
      <alignment horizontal="center"/>
      <protection locked="0"/>
    </xf>
    <xf numFmtId="176" fontId="5" fillId="35" borderId="13" xfId="0" applyNumberFormat="1" applyFont="1" applyFill="1" applyBorder="1" applyAlignment="1" applyProtection="1">
      <alignment horizontal="center"/>
      <protection locked="0"/>
    </xf>
    <xf numFmtId="176" fontId="5" fillId="35" borderId="18" xfId="0" applyNumberFormat="1" applyFont="1" applyFill="1" applyBorder="1" applyAlignment="1" applyProtection="1">
      <alignment horizontal="center"/>
      <protection locked="0"/>
    </xf>
    <xf numFmtId="173" fontId="15" fillId="35" borderId="0" xfId="0" applyNumberFormat="1" applyFont="1" applyFill="1" applyAlignment="1" applyProtection="1">
      <alignment horizontal="center"/>
      <protection locked="0"/>
    </xf>
    <xf numFmtId="1" fontId="33" fillId="33" borderId="0" xfId="42" applyNumberFormat="1" applyFont="1" applyFill="1" applyBorder="1" applyAlignment="1" applyProtection="1">
      <alignment horizontal="left"/>
      <protection/>
    </xf>
    <xf numFmtId="3" fontId="34" fillId="33" borderId="13" xfId="0" applyNumberFormat="1" applyFont="1" applyFill="1" applyBorder="1" applyAlignment="1" applyProtection="1">
      <alignment horizontal="center"/>
      <protection/>
    </xf>
    <xf numFmtId="170" fontId="34" fillId="33" borderId="20" xfId="42" applyNumberFormat="1" applyFont="1" applyFill="1" applyBorder="1" applyAlignment="1" applyProtection="1">
      <alignment horizontal="center"/>
      <protection/>
    </xf>
    <xf numFmtId="1" fontId="9" fillId="35" borderId="12" xfId="42" applyNumberFormat="1" applyFont="1" applyFill="1" applyBorder="1" applyAlignment="1" applyProtection="1">
      <alignment horizontal="center"/>
      <protection/>
    </xf>
    <xf numFmtId="1" fontId="6" fillId="34" borderId="14" xfId="42" applyNumberFormat="1" applyFont="1" applyFill="1" applyBorder="1" applyAlignment="1" applyProtection="1">
      <alignment horizontal="center"/>
      <protection/>
    </xf>
    <xf numFmtId="1" fontId="6" fillId="34" borderId="0" xfId="42" applyNumberFormat="1" applyFont="1" applyFill="1" applyBorder="1" applyAlignment="1" applyProtection="1">
      <alignment horizontal="center"/>
      <protection/>
    </xf>
    <xf numFmtId="170" fontId="15" fillId="35" borderId="15" xfId="42" applyNumberFormat="1" applyFont="1" applyFill="1" applyBorder="1" applyAlignment="1" applyProtection="1">
      <alignment horizontal="center"/>
      <protection locked="0"/>
    </xf>
    <xf numFmtId="170" fontId="15" fillId="34" borderId="23" xfId="42" applyNumberFormat="1" applyFont="1" applyFill="1" applyBorder="1" applyAlignment="1" applyProtection="1">
      <alignment horizontal="center"/>
      <protection/>
    </xf>
    <xf numFmtId="170" fontId="33" fillId="33" borderId="19" xfId="42" applyNumberFormat="1" applyFont="1" applyFill="1" applyBorder="1" applyAlignment="1" applyProtection="1">
      <alignment horizontal="left"/>
      <protection/>
    </xf>
    <xf numFmtId="49" fontId="15" fillId="35" borderId="0" xfId="42" applyNumberFormat="1" applyFont="1" applyFill="1" applyBorder="1" applyAlignment="1" applyProtection="1">
      <alignment horizontal="center"/>
      <protection locked="0"/>
    </xf>
    <xf numFmtId="49" fontId="35" fillId="35" borderId="0" xfId="53" applyNumberFormat="1" applyFont="1" applyFill="1" applyBorder="1" applyAlignment="1" applyProtection="1">
      <alignment horizontal="center"/>
      <protection locked="0"/>
    </xf>
    <xf numFmtId="182" fontId="15" fillId="35" borderId="0" xfId="0" applyNumberFormat="1" applyFont="1" applyFill="1" applyBorder="1" applyAlignment="1" applyProtection="1">
      <alignment horizontal="center"/>
      <protection locked="0"/>
    </xf>
    <xf numFmtId="0" fontId="21" fillId="0" borderId="0" xfId="0" applyFont="1" applyAlignment="1" applyProtection="1">
      <alignment/>
      <protection/>
    </xf>
    <xf numFmtId="0" fontId="17" fillId="0" borderId="0" xfId="0" applyFont="1" applyAlignment="1" applyProtection="1">
      <alignment/>
      <protection/>
    </xf>
    <xf numFmtId="0" fontId="23" fillId="35" borderId="0" xfId="0" applyFont="1" applyFill="1" applyAlignment="1" applyProtection="1">
      <alignment/>
      <protection/>
    </xf>
    <xf numFmtId="0" fontId="22" fillId="0" borderId="0" xfId="0" applyFont="1" applyAlignment="1" applyProtection="1">
      <alignment/>
      <protection/>
    </xf>
    <xf numFmtId="0" fontId="28" fillId="0" borderId="0" xfId="0" applyFont="1" applyAlignment="1" applyProtection="1">
      <alignment/>
      <protection/>
    </xf>
    <xf numFmtId="0" fontId="27" fillId="0" borderId="0" xfId="0" applyFont="1" applyAlignment="1" applyProtection="1">
      <alignment/>
      <protection/>
    </xf>
    <xf numFmtId="0" fontId="24" fillId="0" borderId="0" xfId="0" applyFont="1" applyAlignment="1" applyProtection="1">
      <alignment horizontal="center"/>
      <protection/>
    </xf>
    <xf numFmtId="0" fontId="25" fillId="0" borderId="0" xfId="0" applyFont="1" applyAlignment="1" applyProtection="1">
      <alignment/>
      <protection/>
    </xf>
    <xf numFmtId="0" fontId="17" fillId="0" borderId="0" xfId="0" applyFont="1" applyAlignment="1" applyProtection="1">
      <alignment horizontal="center"/>
      <protection/>
    </xf>
    <xf numFmtId="0" fontId="17" fillId="0" borderId="0" xfId="0" applyFont="1" applyAlignment="1" applyProtection="1">
      <alignment horizontal="right"/>
      <protection/>
    </xf>
    <xf numFmtId="171" fontId="17" fillId="0" borderId="0" xfId="0" applyNumberFormat="1" applyFont="1" applyAlignment="1" applyProtection="1">
      <alignment/>
      <protection/>
    </xf>
    <xf numFmtId="0" fontId="29" fillId="0" borderId="0" xfId="0" applyFont="1" applyAlignment="1" applyProtection="1">
      <alignment/>
      <protection/>
    </xf>
    <xf numFmtId="0" fontId="29" fillId="0" borderId="0" xfId="0" applyFont="1" applyFill="1" applyAlignment="1" applyProtection="1">
      <alignment/>
      <protection/>
    </xf>
    <xf numFmtId="14" fontId="26" fillId="36" borderId="0" xfId="0" applyNumberFormat="1" applyFont="1" applyFill="1" applyAlignment="1" applyProtection="1">
      <alignment/>
      <protection/>
    </xf>
    <xf numFmtId="170" fontId="17" fillId="0" borderId="0" xfId="0" applyNumberFormat="1" applyFont="1" applyAlignment="1" applyProtection="1">
      <alignment/>
      <protection/>
    </xf>
    <xf numFmtId="170" fontId="26" fillId="36" borderId="0" xfId="0" applyNumberFormat="1" applyFont="1" applyFill="1" applyAlignment="1" applyProtection="1">
      <alignment/>
      <protection/>
    </xf>
    <xf numFmtId="172" fontId="25" fillId="0" borderId="0" xfId="0" applyNumberFormat="1" applyFont="1" applyAlignment="1" applyProtection="1">
      <alignment/>
      <protection/>
    </xf>
    <xf numFmtId="170" fontId="21" fillId="0" borderId="0" xfId="0" applyNumberFormat="1" applyFont="1" applyAlignment="1" applyProtection="1">
      <alignment/>
      <protection/>
    </xf>
    <xf numFmtId="0" fontId="26" fillId="36" borderId="0" xfId="0" applyFont="1" applyFill="1" applyAlignment="1" applyProtection="1">
      <alignment/>
      <protection/>
    </xf>
    <xf numFmtId="170" fontId="21" fillId="36" borderId="0" xfId="0" applyNumberFormat="1" applyFont="1" applyFill="1" applyAlignment="1" applyProtection="1">
      <alignment/>
      <protection/>
    </xf>
    <xf numFmtId="1" fontId="26" fillId="36" borderId="0" xfId="0" applyNumberFormat="1" applyFont="1" applyFill="1" applyAlignment="1" applyProtection="1">
      <alignment/>
      <protection/>
    </xf>
    <xf numFmtId="170" fontId="28" fillId="0" borderId="0" xfId="0" applyNumberFormat="1" applyFont="1" applyAlignment="1" applyProtection="1">
      <alignment/>
      <protection/>
    </xf>
    <xf numFmtId="170" fontId="25" fillId="0" borderId="0" xfId="42" applyNumberFormat="1" applyFont="1" applyBorder="1" applyAlignment="1" applyProtection="1">
      <alignment horizontal="center"/>
      <protection/>
    </xf>
    <xf numFmtId="43" fontId="5" fillId="0" borderId="0" xfId="42" applyFont="1" applyBorder="1" applyAlignment="1" applyProtection="1">
      <alignment horizontal="right"/>
      <protection/>
    </xf>
    <xf numFmtId="43" fontId="0" fillId="0" borderId="0" xfId="42" applyFont="1" applyBorder="1" applyAlignment="1" applyProtection="1">
      <alignment horizontal="right"/>
      <protection/>
    </xf>
    <xf numFmtId="0" fontId="26" fillId="0" borderId="0" xfId="0" applyFont="1" applyFill="1" applyAlignment="1" applyProtection="1">
      <alignment/>
      <protection/>
    </xf>
    <xf numFmtId="0" fontId="21" fillId="0" borderId="0" xfId="0" applyFont="1" applyFill="1" applyAlignment="1" applyProtection="1">
      <alignment/>
      <protection/>
    </xf>
    <xf numFmtId="0" fontId="17" fillId="0" borderId="0" xfId="0" applyFont="1" applyAlignment="1" applyProtection="1">
      <alignment horizontal="center" vertical="center" wrapText="1"/>
      <protection/>
    </xf>
    <xf numFmtId="171" fontId="26" fillId="36" borderId="0" xfId="0" applyNumberFormat="1" applyFont="1" applyFill="1" applyAlignment="1" applyProtection="1">
      <alignment/>
      <protection/>
    </xf>
    <xf numFmtId="171" fontId="26" fillId="36" borderId="21" xfId="0" applyNumberFormat="1" applyFont="1" applyFill="1" applyBorder="1" applyAlignment="1" applyProtection="1">
      <alignment/>
      <protection/>
    </xf>
    <xf numFmtId="171" fontId="26" fillId="36" borderId="22" xfId="0" applyNumberFormat="1" applyFont="1" applyFill="1" applyBorder="1" applyAlignment="1" applyProtection="1">
      <alignment/>
      <protection/>
    </xf>
    <xf numFmtId="0" fontId="1" fillId="0" borderId="10" xfId="0" applyFont="1" applyBorder="1" applyAlignment="1" applyProtection="1">
      <alignment horizontal="center"/>
      <protection/>
    </xf>
    <xf numFmtId="0" fontId="1" fillId="0" borderId="19" xfId="0" applyFont="1" applyBorder="1" applyAlignment="1" applyProtection="1">
      <alignment horizontal="center"/>
      <protection/>
    </xf>
    <xf numFmtId="0" fontId="1" fillId="0" borderId="11" xfId="0" applyFont="1" applyBorder="1" applyAlignment="1" applyProtection="1">
      <alignment horizontal="center"/>
      <protection/>
    </xf>
    <xf numFmtId="0" fontId="16" fillId="0" borderId="0" xfId="0" applyFont="1" applyAlignment="1" applyProtection="1">
      <alignment horizontal="center"/>
      <protection/>
    </xf>
    <xf numFmtId="0" fontId="1" fillId="0" borderId="12"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13" xfId="0" applyFont="1" applyBorder="1" applyAlignment="1" applyProtection="1">
      <alignment horizontal="center"/>
      <protection/>
    </xf>
    <xf numFmtId="0" fontId="1" fillId="0" borderId="12" xfId="0" applyFont="1" applyBorder="1" applyAlignment="1" applyProtection="1">
      <alignment horizontal="left"/>
      <protection/>
    </xf>
    <xf numFmtId="0" fontId="14" fillId="0" borderId="13" xfId="0" applyFont="1" applyBorder="1" applyAlignment="1" applyProtection="1">
      <alignment horizontal="center"/>
      <protection/>
    </xf>
    <xf numFmtId="0" fontId="0" fillId="0" borderId="12" xfId="0" applyBorder="1" applyAlignment="1" applyProtection="1">
      <alignment/>
      <protection/>
    </xf>
    <xf numFmtId="0" fontId="14" fillId="0" borderId="13" xfId="0" applyFont="1" applyBorder="1" applyAlignment="1" applyProtection="1">
      <alignment/>
      <protection/>
    </xf>
    <xf numFmtId="0" fontId="0" fillId="34" borderId="0" xfId="0" applyFill="1" applyBorder="1" applyAlignment="1" applyProtection="1">
      <alignment horizontal="center"/>
      <protection/>
    </xf>
    <xf numFmtId="0" fontId="0" fillId="0" borderId="13" xfId="0" applyBorder="1" applyAlignment="1" applyProtection="1">
      <alignment/>
      <protection/>
    </xf>
    <xf numFmtId="0" fontId="1" fillId="0" borderId="12" xfId="0" applyFont="1" applyBorder="1" applyAlignment="1" applyProtection="1">
      <alignment/>
      <protection/>
    </xf>
    <xf numFmtId="0" fontId="14" fillId="0" borderId="14" xfId="0" applyFont="1" applyBorder="1" applyAlignment="1" applyProtection="1">
      <alignment/>
      <protection/>
    </xf>
    <xf numFmtId="0" fontId="14" fillId="0" borderId="15" xfId="0" applyFont="1" applyBorder="1" applyAlignment="1" applyProtection="1">
      <alignment/>
      <protection/>
    </xf>
    <xf numFmtId="0" fontId="14" fillId="0" borderId="18" xfId="0" applyFont="1" applyBorder="1" applyAlignment="1" applyProtection="1">
      <alignment/>
      <protection/>
    </xf>
    <xf numFmtId="0" fontId="14" fillId="0" borderId="0" xfId="0" applyFont="1" applyAlignment="1" applyProtection="1">
      <alignment/>
      <protection/>
    </xf>
    <xf numFmtId="0" fontId="2" fillId="0" borderId="0" xfId="0" applyFont="1" applyAlignment="1" applyProtection="1">
      <alignment/>
      <protection/>
    </xf>
    <xf numFmtId="0" fontId="1" fillId="0" borderId="0" xfId="0" applyFont="1" applyAlignment="1" applyProtection="1">
      <alignment horizontal="right"/>
      <protection/>
    </xf>
    <xf numFmtId="0" fontId="6" fillId="0" borderId="0" xfId="0" applyFont="1" applyAlignment="1" applyProtection="1">
      <alignment/>
      <protection/>
    </xf>
    <xf numFmtId="0" fontId="8" fillId="0" borderId="0" xfId="0" applyFont="1" applyAlignment="1" applyProtection="1">
      <alignment horizontal="center"/>
      <protection/>
    </xf>
    <xf numFmtId="0" fontId="10" fillId="0" borderId="0" xfId="0" applyFont="1" applyAlignment="1" applyProtection="1">
      <alignment horizontal="center"/>
      <protection/>
    </xf>
    <xf numFmtId="0" fontId="27" fillId="0" borderId="0" xfId="0" applyFont="1" applyAlignment="1">
      <alignment horizontal="center"/>
    </xf>
    <xf numFmtId="0" fontId="22" fillId="0" borderId="0" xfId="0" applyFont="1" applyAlignment="1">
      <alignment horizontal="left" indent="5"/>
    </xf>
    <xf numFmtId="172" fontId="25" fillId="35" borderId="0" xfId="0" applyNumberFormat="1" applyFont="1" applyFill="1" applyAlignment="1" applyProtection="1">
      <alignment/>
      <protection/>
    </xf>
    <xf numFmtId="14" fontId="25" fillId="35" borderId="0" xfId="0" applyNumberFormat="1" applyFont="1" applyFill="1" applyAlignment="1" applyProtection="1">
      <alignment/>
      <protection/>
    </xf>
    <xf numFmtId="43" fontId="5" fillId="35" borderId="0" xfId="42" applyFont="1" applyFill="1" applyBorder="1" applyAlignment="1" applyProtection="1">
      <alignment horizontal="right"/>
      <protection/>
    </xf>
    <xf numFmtId="0" fontId="25" fillId="35" borderId="0" xfId="0" applyFont="1" applyFill="1" applyAlignment="1" applyProtection="1">
      <alignment horizontal="center"/>
      <protection/>
    </xf>
    <xf numFmtId="173" fontId="25" fillId="35" borderId="0" xfId="0" applyNumberFormat="1" applyFont="1" applyFill="1" applyAlignment="1" applyProtection="1">
      <alignment horizontal="center"/>
      <protection/>
    </xf>
    <xf numFmtId="0" fontId="25" fillId="35" borderId="0" xfId="0" applyFont="1" applyFill="1" applyAlignment="1" applyProtection="1">
      <alignment horizontal="right"/>
      <protection/>
    </xf>
    <xf numFmtId="0" fontId="28" fillId="0" borderId="0" xfId="0" applyFont="1" applyAlignment="1" applyProtection="1">
      <alignment horizontal="center"/>
      <protection/>
    </xf>
    <xf numFmtId="0" fontId="26" fillId="36" borderId="0" xfId="0" applyFont="1" applyFill="1" applyAlignment="1" applyProtection="1">
      <alignment horizontal="center"/>
      <protection/>
    </xf>
    <xf numFmtId="0" fontId="21" fillId="0" borderId="0" xfId="0" applyFont="1" applyAlignment="1" applyProtection="1">
      <alignment horizontal="center"/>
      <protection/>
    </xf>
    <xf numFmtId="0" fontId="17" fillId="35" borderId="0" xfId="0" applyFont="1" applyFill="1" applyAlignment="1" applyProtection="1">
      <alignment horizontal="center"/>
      <protection/>
    </xf>
    <xf numFmtId="0" fontId="36" fillId="37" borderId="0" xfId="0" applyFont="1" applyFill="1" applyAlignment="1" applyProtection="1">
      <alignment/>
      <protection/>
    </xf>
    <xf numFmtId="0" fontId="37" fillId="37" borderId="0" xfId="0" applyFont="1" applyFill="1" applyAlignment="1" applyProtection="1">
      <alignment/>
      <protection/>
    </xf>
    <xf numFmtId="0" fontId="38" fillId="37" borderId="0" xfId="0" applyFont="1" applyFill="1" applyAlignment="1" applyProtection="1">
      <alignment/>
      <protection/>
    </xf>
    <xf numFmtId="0" fontId="39" fillId="0" borderId="0" xfId="0" applyFont="1" applyAlignment="1" applyProtection="1">
      <alignment/>
      <protection/>
    </xf>
    <xf numFmtId="0" fontId="23" fillId="0" borderId="0" xfId="0" applyFont="1" applyAlignment="1">
      <alignment horizontal="left" indent="5"/>
    </xf>
    <xf numFmtId="43" fontId="0" fillId="0" borderId="0" xfId="42" applyFont="1" applyBorder="1" applyAlignment="1" applyProtection="1">
      <alignment/>
      <protection locked="0"/>
    </xf>
    <xf numFmtId="1" fontId="0" fillId="0" borderId="0" xfId="0" applyNumberFormat="1" applyAlignment="1" applyProtection="1">
      <alignment horizontal="center"/>
      <protection locked="0"/>
    </xf>
    <xf numFmtId="173" fontId="6" fillId="0" borderId="0" xfId="0" applyNumberFormat="1" applyFont="1" applyAlignment="1" applyProtection="1">
      <alignment horizontal="center"/>
      <protection locked="0"/>
    </xf>
    <xf numFmtId="0" fontId="10" fillId="0" borderId="0" xfId="0" applyFont="1" applyAlignment="1" applyProtection="1">
      <alignment horizontal="center"/>
      <protection locked="0"/>
    </xf>
    <xf numFmtId="1" fontId="7" fillId="33" borderId="10" xfId="42" applyNumberFormat="1" applyFont="1" applyFill="1" applyBorder="1" applyAlignment="1" applyProtection="1">
      <alignment horizontal="center"/>
      <protection locked="0"/>
    </xf>
    <xf numFmtId="0" fontId="7" fillId="33" borderId="19" xfId="0" applyFont="1" applyFill="1" applyBorder="1" applyAlignment="1" applyProtection="1">
      <alignment horizontal="left"/>
      <protection locked="0"/>
    </xf>
    <xf numFmtId="173" fontId="7" fillId="33" borderId="19" xfId="0" applyNumberFormat="1" applyFont="1" applyFill="1" applyBorder="1" applyAlignment="1" applyProtection="1">
      <alignment horizontal="center"/>
      <protection locked="0"/>
    </xf>
    <xf numFmtId="173" fontId="7" fillId="33" borderId="11" xfId="0" applyNumberFormat="1" applyFont="1" applyFill="1" applyBorder="1" applyAlignment="1" applyProtection="1">
      <alignment horizontal="center"/>
      <protection locked="0"/>
    </xf>
    <xf numFmtId="173" fontId="8" fillId="0" borderId="0" xfId="0" applyNumberFormat="1" applyFont="1" applyAlignment="1" applyProtection="1">
      <alignment horizontal="center" vertical="center" wrapText="1"/>
      <protection locked="0"/>
    </xf>
    <xf numFmtId="0" fontId="33" fillId="33" borderId="0" xfId="0" applyFont="1" applyFill="1" applyAlignment="1" applyProtection="1">
      <alignment horizontal="left" vertical="center" wrapText="1" indent="11"/>
      <protection locked="0"/>
    </xf>
    <xf numFmtId="0" fontId="33" fillId="33" borderId="0" xfId="0" applyFont="1" applyFill="1" applyAlignment="1" applyProtection="1">
      <alignment horizontal="center" vertical="center" wrapText="1"/>
      <protection locked="0"/>
    </xf>
    <xf numFmtId="173" fontId="6" fillId="0" borderId="0" xfId="42" applyNumberFormat="1" applyFont="1" applyAlignment="1" applyProtection="1">
      <alignment horizontal="right"/>
      <protection locked="0"/>
    </xf>
    <xf numFmtId="187" fontId="6" fillId="0" borderId="0" xfId="42" applyNumberFormat="1" applyFont="1" applyAlignment="1" applyProtection="1">
      <alignment horizontal="right"/>
      <protection locked="0"/>
    </xf>
    <xf numFmtId="43" fontId="6" fillId="0" borderId="0" xfId="42" applyFont="1" applyAlignment="1" applyProtection="1">
      <alignment horizontal="left" indent="11"/>
      <protection locked="0"/>
    </xf>
    <xf numFmtId="185" fontId="6" fillId="0" borderId="0" xfId="0" applyNumberFormat="1" applyFont="1" applyAlignment="1" applyProtection="1">
      <alignment horizontal="center"/>
      <protection locked="0"/>
    </xf>
    <xf numFmtId="173" fontId="6" fillId="0" borderId="0" xfId="0" applyNumberFormat="1" applyFont="1" applyAlignment="1" applyProtection="1">
      <alignment horizontal="right"/>
      <protection locked="0"/>
    </xf>
    <xf numFmtId="43" fontId="8" fillId="0" borderId="22" xfId="42" applyFont="1" applyBorder="1" applyAlignment="1" applyProtection="1">
      <alignment horizontal="left" indent="11"/>
      <protection locked="0"/>
    </xf>
    <xf numFmtId="173" fontId="8" fillId="0" borderId="22" xfId="0" applyNumberFormat="1" applyFont="1" applyBorder="1" applyAlignment="1" applyProtection="1">
      <alignment horizontal="center"/>
      <protection locked="0"/>
    </xf>
    <xf numFmtId="1" fontId="7" fillId="33" borderId="0" xfId="0" applyNumberFormat="1" applyFont="1" applyFill="1" applyAlignment="1" applyProtection="1">
      <alignment horizontal="center"/>
      <protection locked="0"/>
    </xf>
    <xf numFmtId="0" fontId="11" fillId="0" borderId="0" xfId="0" applyFont="1" applyAlignment="1" applyProtection="1">
      <alignment/>
      <protection locked="0"/>
    </xf>
    <xf numFmtId="0" fontId="0" fillId="0" borderId="0" xfId="0" applyAlignment="1" applyProtection="1">
      <alignment horizontal="center"/>
      <protection locked="0"/>
    </xf>
    <xf numFmtId="43" fontId="0" fillId="0" borderId="0" xfId="42" applyFont="1" applyAlignment="1" applyProtection="1">
      <alignment/>
      <protection locked="0"/>
    </xf>
    <xf numFmtId="14" fontId="0" fillId="0" borderId="0" xfId="0" applyNumberFormat="1" applyAlignment="1" applyProtection="1">
      <alignment horizontal="center"/>
      <protection locked="0"/>
    </xf>
    <xf numFmtId="1" fontId="0" fillId="0" borderId="0" xfId="0" applyNumberFormat="1" applyFont="1" applyAlignment="1" applyProtection="1">
      <alignment horizontal="center"/>
      <protection locked="0"/>
    </xf>
    <xf numFmtId="0" fontId="40" fillId="0" borderId="0" xfId="0" applyFont="1" applyAlignment="1" applyProtection="1">
      <alignment/>
      <protection/>
    </xf>
    <xf numFmtId="0" fontId="41" fillId="0" borderId="0" xfId="0" applyFont="1" applyAlignment="1" applyProtection="1">
      <alignment/>
      <protection/>
    </xf>
    <xf numFmtId="0" fontId="42" fillId="0" borderId="0" xfId="0" applyFont="1" applyAlignment="1" applyProtection="1">
      <alignment/>
      <protection/>
    </xf>
    <xf numFmtId="0" fontId="44" fillId="0" borderId="0" xfId="0" applyFont="1" applyAlignment="1" applyProtection="1">
      <alignment/>
      <protection/>
    </xf>
    <xf numFmtId="0" fontId="43" fillId="0" borderId="0" xfId="0" applyFont="1" applyAlignment="1" applyProtection="1">
      <alignment horizontal="center"/>
      <protection/>
    </xf>
    <xf numFmtId="0" fontId="45" fillId="0" borderId="0" xfId="0" applyFont="1" applyAlignment="1" applyProtection="1">
      <alignment horizontal="center"/>
      <protection/>
    </xf>
    <xf numFmtId="0" fontId="42" fillId="0" borderId="0" xfId="0" applyFont="1" applyAlignment="1" applyProtection="1">
      <alignment/>
      <protection locked="0"/>
    </xf>
    <xf numFmtId="0" fontId="45" fillId="0" borderId="0" xfId="0" applyFont="1" applyAlignment="1" applyProtection="1">
      <alignment horizontal="center"/>
      <protection locked="0"/>
    </xf>
    <xf numFmtId="1" fontId="3" fillId="0" borderId="0" xfId="42" applyNumberFormat="1" applyFont="1" applyAlignment="1" applyProtection="1">
      <alignment horizontal="center"/>
      <protection/>
    </xf>
    <xf numFmtId="1" fontId="11" fillId="0" borderId="0" xfId="42" applyNumberFormat="1" applyFont="1" applyAlignment="1" applyProtection="1">
      <alignment horizontal="center"/>
      <protection/>
    </xf>
    <xf numFmtId="194" fontId="0" fillId="0" borderId="0" xfId="0" applyNumberFormat="1" applyFont="1" applyAlignment="1" applyProtection="1">
      <alignment horizontal="right"/>
      <protection locked="0"/>
    </xf>
    <xf numFmtId="0" fontId="46" fillId="0" borderId="0" xfId="0" applyFont="1" applyAlignment="1" applyProtection="1">
      <alignment horizontal="center"/>
      <protection/>
    </xf>
    <xf numFmtId="0" fontId="22" fillId="0" borderId="0" xfId="0" applyFont="1" applyAlignment="1" applyProtection="1">
      <alignment horizontal="center"/>
      <protection/>
    </xf>
    <xf numFmtId="0" fontId="29" fillId="0" borderId="0" xfId="0" applyFont="1" applyAlignment="1" applyProtection="1">
      <alignment horizontal="center"/>
      <protection/>
    </xf>
    <xf numFmtId="0" fontId="46" fillId="37" borderId="0" xfId="0" applyFont="1" applyFill="1" applyAlignment="1" applyProtection="1">
      <alignment horizontal="center"/>
      <protection/>
    </xf>
    <xf numFmtId="0" fontId="22" fillId="35" borderId="0" xfId="0" applyFont="1" applyFill="1" applyAlignment="1" applyProtection="1">
      <alignment horizontal="center"/>
      <protection/>
    </xf>
    <xf numFmtId="0" fontId="24" fillId="36" borderId="0" xfId="0" applyFont="1" applyFill="1" applyAlignment="1" applyProtection="1">
      <alignment horizontal="center"/>
      <protection/>
    </xf>
    <xf numFmtId="0" fontId="30" fillId="37" borderId="0" xfId="0" applyFont="1" applyFill="1" applyAlignment="1" applyProtection="1">
      <alignment horizontal="center"/>
      <protection/>
    </xf>
    <xf numFmtId="0" fontId="20" fillId="0" borderId="0" xfId="0" applyFont="1" applyAlignment="1" applyProtection="1">
      <alignment horizontal="center"/>
      <protection/>
    </xf>
    <xf numFmtId="0" fontId="3" fillId="0" borderId="0" xfId="0" applyFont="1" applyAlignment="1" applyProtection="1">
      <alignment horizontal="center"/>
      <protection/>
    </xf>
    <xf numFmtId="15" fontId="3" fillId="0" borderId="0" xfId="0" applyNumberFormat="1" applyFont="1" applyAlignment="1" applyProtection="1">
      <alignment horizontal="center"/>
      <protection/>
    </xf>
    <xf numFmtId="0" fontId="47" fillId="0" borderId="0" xfId="0" applyFont="1" applyAlignment="1" applyProtection="1">
      <alignment horizontal="center"/>
      <protection/>
    </xf>
    <xf numFmtId="0" fontId="47" fillId="0" borderId="0" xfId="0" applyFont="1" applyFill="1" applyBorder="1" applyAlignment="1" applyProtection="1">
      <alignment horizontal="center"/>
      <protection/>
    </xf>
    <xf numFmtId="0" fontId="48" fillId="0" borderId="0" xfId="0" applyFont="1" applyFill="1" applyBorder="1" applyAlignment="1" applyProtection="1">
      <alignment horizontal="center"/>
      <protection/>
    </xf>
    <xf numFmtId="3" fontId="47" fillId="0" borderId="0" xfId="0" applyNumberFormat="1" applyFont="1" applyFill="1" applyBorder="1" applyAlignment="1" applyProtection="1">
      <alignment horizontal="center"/>
      <protection/>
    </xf>
    <xf numFmtId="176" fontId="47" fillId="0" borderId="0" xfId="0" applyNumberFormat="1" applyFont="1" applyFill="1" applyBorder="1" applyAlignment="1" applyProtection="1">
      <alignment horizontal="center"/>
      <protection/>
    </xf>
    <xf numFmtId="3" fontId="48" fillId="0" borderId="0" xfId="0" applyNumberFormat="1" applyFont="1" applyFill="1" applyAlignment="1" applyProtection="1">
      <alignment horizontal="center"/>
      <protection/>
    </xf>
    <xf numFmtId="3" fontId="47" fillId="0" borderId="0" xfId="0" applyNumberFormat="1" applyFont="1" applyFill="1" applyAlignment="1" applyProtection="1">
      <alignment horizontal="center"/>
      <protection/>
    </xf>
    <xf numFmtId="3" fontId="14" fillId="0" borderId="0" xfId="0" applyNumberFormat="1" applyFont="1" applyFill="1" applyBorder="1" applyAlignment="1" applyProtection="1">
      <alignment horizontal="center"/>
      <protection/>
    </xf>
    <xf numFmtId="3" fontId="47" fillId="0" borderId="0" xfId="0" applyNumberFormat="1" applyFont="1" applyFill="1" applyBorder="1" applyAlignment="1" applyProtection="1">
      <alignment horizontal="left"/>
      <protection/>
    </xf>
    <xf numFmtId="3" fontId="14" fillId="0" borderId="0" xfId="0" applyNumberFormat="1" applyFont="1" applyFill="1" applyAlignment="1" applyProtection="1">
      <alignment horizontal="center"/>
      <protection/>
    </xf>
    <xf numFmtId="3" fontId="20" fillId="0" borderId="0" xfId="0" applyNumberFormat="1" applyFont="1" applyAlignment="1" applyProtection="1">
      <alignment horizontal="center"/>
      <protection/>
    </xf>
    <xf numFmtId="173" fontId="48" fillId="0" borderId="0" xfId="0" applyNumberFormat="1" applyFont="1" applyAlignment="1" applyProtection="1">
      <alignment horizontal="center"/>
      <protection/>
    </xf>
    <xf numFmtId="173" fontId="14" fillId="0" borderId="0" xfId="0" applyNumberFormat="1" applyFont="1" applyAlignment="1" applyProtection="1">
      <alignment horizontal="center"/>
      <protection/>
    </xf>
    <xf numFmtId="173" fontId="14" fillId="0" borderId="0" xfId="0" applyNumberFormat="1" applyFont="1" applyFill="1" applyBorder="1" applyAlignment="1" applyProtection="1">
      <alignment horizontal="center"/>
      <protection/>
    </xf>
    <xf numFmtId="173" fontId="14" fillId="0" borderId="0" xfId="0" applyNumberFormat="1" applyFont="1" applyBorder="1" applyAlignment="1" applyProtection="1">
      <alignment horizontal="center"/>
      <protection/>
    </xf>
    <xf numFmtId="173" fontId="48" fillId="0" borderId="0" xfId="0" applyNumberFormat="1" applyFont="1" applyAlignment="1" applyProtection="1">
      <alignment horizontal="center"/>
      <protection locked="0"/>
    </xf>
    <xf numFmtId="173" fontId="14" fillId="0" borderId="0" xfId="0" applyNumberFormat="1" applyFont="1" applyFill="1" applyBorder="1" applyAlignment="1" applyProtection="1">
      <alignment horizontal="center"/>
      <protection locked="0"/>
    </xf>
    <xf numFmtId="0" fontId="14" fillId="0" borderId="0" xfId="0" applyFont="1" applyAlignment="1" applyProtection="1">
      <alignment horizontal="center" vertical="center" wrapText="1"/>
      <protection locked="0"/>
    </xf>
    <xf numFmtId="0" fontId="3" fillId="0" borderId="0" xfId="0" applyFont="1" applyAlignment="1" applyProtection="1">
      <alignment/>
      <protection locked="0"/>
    </xf>
    <xf numFmtId="173" fontId="14" fillId="0" borderId="0" xfId="0" applyNumberFormat="1" applyFont="1" applyBorder="1" applyAlignment="1" applyProtection="1">
      <alignment horizontal="center"/>
      <protection locked="0"/>
    </xf>
    <xf numFmtId="0" fontId="47" fillId="0" borderId="0" xfId="0" applyFont="1" applyAlignment="1" applyProtection="1">
      <alignment horizontal="center"/>
      <protection locked="0"/>
    </xf>
    <xf numFmtId="182" fontId="32" fillId="0" borderId="0" xfId="42" applyNumberFormat="1" applyFont="1" applyAlignment="1" applyProtection="1">
      <alignment horizontal="right"/>
      <protection/>
    </xf>
    <xf numFmtId="182" fontId="25" fillId="35" borderId="0" xfId="0" applyNumberFormat="1" applyFont="1" applyFill="1" applyAlignment="1" applyProtection="1">
      <alignment/>
      <protection/>
    </xf>
    <xf numFmtId="0" fontId="17" fillId="37" borderId="0" xfId="0" applyFont="1" applyFill="1" applyAlignment="1" applyProtection="1">
      <alignment/>
      <protection/>
    </xf>
    <xf numFmtId="173" fontId="11" fillId="33" borderId="0" xfId="0" applyNumberFormat="1" applyFont="1" applyFill="1" applyAlignment="1" applyProtection="1">
      <alignment horizontal="center" vertical="center" wrapText="1"/>
      <protection locked="0"/>
    </xf>
    <xf numFmtId="1" fontId="14" fillId="0" borderId="0" xfId="0" applyNumberFormat="1" applyFont="1" applyAlignment="1" applyProtection="1">
      <alignment horizontal="right"/>
      <protection locked="0"/>
    </xf>
    <xf numFmtId="0" fontId="0" fillId="0" borderId="0" xfId="0" applyFont="1" applyAlignment="1" applyProtection="1">
      <alignment/>
      <protection/>
    </xf>
    <xf numFmtId="0" fontId="6" fillId="0" borderId="0" xfId="0" applyFont="1" applyAlignment="1" applyProtection="1">
      <alignment/>
      <protection/>
    </xf>
    <xf numFmtId="0" fontId="0" fillId="0" borderId="0" xfId="0" applyFont="1" applyAlignment="1" applyProtection="1">
      <alignment/>
      <protection locked="0"/>
    </xf>
    <xf numFmtId="4" fontId="0" fillId="0" borderId="0" xfId="0" applyNumberFormat="1" applyFont="1" applyAlignment="1" applyProtection="1">
      <alignment/>
      <protection locked="0"/>
    </xf>
    <xf numFmtId="0" fontId="97" fillId="0" borderId="0" xfId="0" applyFont="1" applyAlignment="1" applyProtection="1">
      <alignment/>
      <protection/>
    </xf>
    <xf numFmtId="0" fontId="98" fillId="0" borderId="0" xfId="0" applyFont="1" applyAlignment="1" applyProtection="1">
      <alignment/>
      <protection/>
    </xf>
    <xf numFmtId="0" fontId="99" fillId="0" borderId="0" xfId="0" applyFont="1" applyAlignment="1" applyProtection="1">
      <alignment/>
      <protection/>
    </xf>
    <xf numFmtId="0" fontId="100" fillId="0" borderId="0" xfId="0" applyFont="1" applyAlignment="1" applyProtection="1">
      <alignment/>
      <protection/>
    </xf>
    <xf numFmtId="171" fontId="99" fillId="0" borderId="0" xfId="0" applyNumberFormat="1" applyFont="1" applyAlignment="1" applyProtection="1">
      <alignment/>
      <protection/>
    </xf>
    <xf numFmtId="0" fontId="101" fillId="0" borderId="0" xfId="0" applyFont="1" applyAlignment="1" applyProtection="1">
      <alignment/>
      <protection/>
    </xf>
    <xf numFmtId="0" fontId="102" fillId="0" borderId="0" xfId="0" applyFont="1" applyAlignment="1" applyProtection="1">
      <alignment horizontal="center"/>
      <protection/>
    </xf>
    <xf numFmtId="0" fontId="103" fillId="0" borderId="0" xfId="0" applyFont="1" applyAlignment="1" applyProtection="1">
      <alignment horizontal="center"/>
      <protection/>
    </xf>
    <xf numFmtId="0" fontId="103" fillId="0" borderId="0" xfId="0" applyFont="1" applyAlignment="1" applyProtection="1">
      <alignment/>
      <protection/>
    </xf>
    <xf numFmtId="0" fontId="103" fillId="0" borderId="0" xfId="0" applyFont="1" applyAlignment="1">
      <alignment/>
    </xf>
    <xf numFmtId="0" fontId="104" fillId="0" borderId="0" xfId="0" applyFont="1" applyAlignment="1" applyProtection="1">
      <alignment/>
      <protection/>
    </xf>
    <xf numFmtId="15" fontId="103" fillId="0" borderId="0" xfId="0" applyNumberFormat="1" applyFont="1" applyAlignment="1" applyProtection="1">
      <alignment/>
      <protection/>
    </xf>
    <xf numFmtId="1" fontId="103" fillId="0" borderId="0" xfId="0" applyNumberFormat="1" applyFont="1" applyAlignment="1" applyProtection="1">
      <alignment horizontal="center"/>
      <protection/>
    </xf>
    <xf numFmtId="14" fontId="103" fillId="0" borderId="0" xfId="0" applyNumberFormat="1" applyFont="1" applyAlignment="1" applyProtection="1">
      <alignment horizontal="center"/>
      <protection/>
    </xf>
    <xf numFmtId="185" fontId="103" fillId="0" borderId="0" xfId="0" applyNumberFormat="1" applyFont="1" applyAlignment="1" applyProtection="1">
      <alignment/>
      <protection/>
    </xf>
    <xf numFmtId="0" fontId="105" fillId="0" borderId="0" xfId="0" applyFont="1" applyAlignment="1" applyProtection="1">
      <alignment horizontal="right"/>
      <protection/>
    </xf>
    <xf numFmtId="0" fontId="105" fillId="0" borderId="0" xfId="0" applyFont="1" applyAlignment="1" applyProtection="1">
      <alignment horizontal="center"/>
      <protection/>
    </xf>
    <xf numFmtId="0" fontId="106" fillId="0" borderId="0" xfId="0" applyFont="1" applyAlignment="1" applyProtection="1">
      <alignment/>
      <protection/>
    </xf>
    <xf numFmtId="171" fontId="103" fillId="0" borderId="0" xfId="0" applyNumberFormat="1" applyFont="1" applyAlignment="1" applyProtection="1">
      <alignment horizontal="right"/>
      <protection/>
    </xf>
    <xf numFmtId="171" fontId="103" fillId="0" borderId="0" xfId="0" applyNumberFormat="1" applyFont="1" applyAlignment="1" applyProtection="1">
      <alignment/>
      <protection/>
    </xf>
    <xf numFmtId="0" fontId="103" fillId="0" borderId="0" xfId="0" applyFont="1" applyAlignment="1" applyProtection="1">
      <alignment horizontal="right"/>
      <protection/>
    </xf>
    <xf numFmtId="0" fontId="102" fillId="0" borderId="0" xfId="0" applyFont="1" applyAlignment="1" applyProtection="1">
      <alignment/>
      <protection/>
    </xf>
    <xf numFmtId="171" fontId="99" fillId="0" borderId="0" xfId="0" applyNumberFormat="1" applyFont="1" applyAlignment="1" applyProtection="1">
      <alignment horizontal="center"/>
      <protection/>
    </xf>
    <xf numFmtId="43" fontId="103" fillId="0" borderId="0" xfId="0" applyNumberFormat="1" applyFont="1" applyAlignment="1" applyProtection="1">
      <alignment horizontal="right"/>
      <protection/>
    </xf>
    <xf numFmtId="0" fontId="106" fillId="0" borderId="0" xfId="0" applyFont="1" applyAlignment="1" applyProtection="1">
      <alignment horizontal="right"/>
      <protection/>
    </xf>
    <xf numFmtId="171" fontId="106" fillId="0" borderId="0" xfId="0" applyNumberFormat="1" applyFont="1" applyAlignment="1" applyProtection="1">
      <alignment/>
      <protection/>
    </xf>
    <xf numFmtId="171" fontId="104" fillId="0" borderId="0" xfId="0" applyNumberFormat="1" applyFont="1" applyAlignment="1" applyProtection="1">
      <alignment/>
      <protection/>
    </xf>
    <xf numFmtId="0" fontId="103" fillId="0" borderId="0" xfId="0" applyFont="1" applyAlignment="1" applyProtection="1">
      <alignment horizontal="left"/>
      <protection/>
    </xf>
    <xf numFmtId="43" fontId="103" fillId="0" borderId="0" xfId="0" applyNumberFormat="1" applyFont="1" applyAlignment="1" applyProtection="1">
      <alignment/>
      <protection/>
    </xf>
    <xf numFmtId="2" fontId="103" fillId="0" borderId="0" xfId="0" applyNumberFormat="1" applyFont="1" applyAlignment="1" applyProtection="1">
      <alignment/>
      <protection/>
    </xf>
    <xf numFmtId="186" fontId="103" fillId="0" borderId="0" xfId="0" applyNumberFormat="1" applyFont="1" applyAlignment="1" applyProtection="1">
      <alignment/>
      <protection/>
    </xf>
    <xf numFmtId="3" fontId="104" fillId="0" borderId="0" xfId="0" applyNumberFormat="1" applyFont="1" applyFill="1" applyAlignment="1" applyProtection="1">
      <alignment horizontal="center"/>
      <protection/>
    </xf>
    <xf numFmtId="43" fontId="98" fillId="0" borderId="0" xfId="42" applyFont="1" applyFill="1" applyBorder="1" applyAlignment="1" applyProtection="1">
      <alignment/>
      <protection/>
    </xf>
    <xf numFmtId="3" fontId="98" fillId="0" borderId="0" xfId="42" applyNumberFormat="1" applyFont="1" applyAlignment="1" applyProtection="1">
      <alignment horizontal="center"/>
      <protection/>
    </xf>
    <xf numFmtId="173" fontId="103" fillId="0" borderId="0" xfId="0" applyNumberFormat="1" applyFont="1" applyAlignment="1" applyProtection="1">
      <alignment/>
      <protection/>
    </xf>
    <xf numFmtId="43" fontId="103" fillId="0" borderId="0" xfId="42" applyFont="1" applyAlignment="1" applyProtection="1">
      <alignment/>
      <protection/>
    </xf>
    <xf numFmtId="173" fontId="103" fillId="0" borderId="0" xfId="42" applyNumberFormat="1" applyFont="1" applyAlignment="1" applyProtection="1">
      <alignment/>
      <protection/>
    </xf>
    <xf numFmtId="0" fontId="103" fillId="0" borderId="0" xfId="0" applyFont="1" applyAlignment="1" applyProtection="1">
      <alignment/>
      <protection/>
    </xf>
    <xf numFmtId="173" fontId="99" fillId="0" borderId="0" xfId="0" applyNumberFormat="1" applyFont="1" applyAlignment="1" applyProtection="1">
      <alignment/>
      <protection/>
    </xf>
    <xf numFmtId="173" fontId="103" fillId="0" borderId="15" xfId="42" applyNumberFormat="1" applyFont="1" applyBorder="1" applyAlignment="1" applyProtection="1">
      <alignment/>
      <protection/>
    </xf>
    <xf numFmtId="43" fontId="99" fillId="0" borderId="0" xfId="42" applyFont="1" applyAlignment="1" applyProtection="1">
      <alignment/>
      <protection/>
    </xf>
    <xf numFmtId="173" fontId="99" fillId="0" borderId="0" xfId="42" applyNumberFormat="1" applyFont="1" applyBorder="1" applyAlignment="1" applyProtection="1">
      <alignment/>
      <protection/>
    </xf>
    <xf numFmtId="0" fontId="99" fillId="0" borderId="0" xfId="0" applyFont="1" applyAlignment="1" applyProtection="1">
      <alignment/>
      <protection/>
    </xf>
    <xf numFmtId="43" fontId="104" fillId="0" borderId="22" xfId="42" applyFont="1" applyBorder="1" applyAlignment="1" applyProtection="1">
      <alignment/>
      <protection/>
    </xf>
    <xf numFmtId="173" fontId="99" fillId="0" borderId="22" xfId="0" applyNumberFormat="1" applyFont="1" applyBorder="1" applyAlignment="1" applyProtection="1">
      <alignment/>
      <protection/>
    </xf>
    <xf numFmtId="173" fontId="103" fillId="0" borderId="0" xfId="0" applyNumberFormat="1" applyFont="1" applyAlignment="1" applyProtection="1">
      <alignment/>
      <protection/>
    </xf>
    <xf numFmtId="0" fontId="105" fillId="0" borderId="0" xfId="0" applyFont="1" applyAlignment="1" applyProtection="1">
      <alignment/>
      <protection/>
    </xf>
    <xf numFmtId="43" fontId="98" fillId="0" borderId="0" xfId="42" applyFont="1" applyAlignment="1" applyProtection="1">
      <alignment/>
      <protection/>
    </xf>
    <xf numFmtId="43" fontId="98" fillId="0" borderId="0" xfId="42" applyFont="1" applyAlignment="1" applyProtection="1">
      <alignment horizontal="center"/>
      <protection/>
    </xf>
    <xf numFmtId="173" fontId="103" fillId="0" borderId="0" xfId="0" applyNumberFormat="1" applyFont="1" applyBorder="1" applyAlignment="1" applyProtection="1">
      <alignment/>
      <protection/>
    </xf>
    <xf numFmtId="0" fontId="103" fillId="0" borderId="0" xfId="0" applyFont="1" applyBorder="1" applyAlignment="1" applyProtection="1">
      <alignment/>
      <protection/>
    </xf>
    <xf numFmtId="4" fontId="103" fillId="0" borderId="0" xfId="0" applyNumberFormat="1" applyFont="1" applyBorder="1" applyAlignment="1" applyProtection="1">
      <alignment/>
      <protection/>
    </xf>
    <xf numFmtId="173" fontId="103" fillId="0" borderId="0" xfId="0" applyNumberFormat="1" applyFont="1" applyAlignment="1" applyProtection="1">
      <alignment horizontal="right"/>
      <protection/>
    </xf>
    <xf numFmtId="173" fontId="99" fillId="0" borderId="22" xfId="42" applyNumberFormat="1" applyFont="1" applyBorder="1" applyAlignment="1" applyProtection="1">
      <alignment/>
      <protection/>
    </xf>
    <xf numFmtId="0" fontId="104" fillId="0" borderId="0" xfId="0" applyFont="1" applyAlignment="1" applyProtection="1">
      <alignment horizontal="center"/>
      <protection/>
    </xf>
    <xf numFmtId="173" fontId="106" fillId="0" borderId="0" xfId="0" applyNumberFormat="1" applyFont="1" applyAlignment="1" applyProtection="1">
      <alignment horizontal="center"/>
      <protection/>
    </xf>
    <xf numFmtId="0" fontId="107" fillId="0" borderId="0" xfId="0" applyFont="1" applyAlignment="1" applyProtection="1">
      <alignment horizontal="center"/>
      <protection/>
    </xf>
    <xf numFmtId="0" fontId="107" fillId="0" borderId="0" xfId="0" applyFont="1" applyAlignment="1" applyProtection="1">
      <alignment horizontal="left"/>
      <protection/>
    </xf>
    <xf numFmtId="0" fontId="103" fillId="0" borderId="0" xfId="0" applyFont="1" applyAlignment="1" applyProtection="1">
      <alignment/>
      <protection locked="0"/>
    </xf>
    <xf numFmtId="0" fontId="104" fillId="0" borderId="0" xfId="0" applyFont="1" applyAlignment="1" applyProtection="1">
      <alignment horizontal="center"/>
      <protection locked="0"/>
    </xf>
    <xf numFmtId="0" fontId="104" fillId="0" borderId="0" xfId="0" applyFont="1" applyAlignment="1" applyProtection="1">
      <alignment horizontal="left"/>
      <protection locked="0"/>
    </xf>
    <xf numFmtId="0" fontId="107" fillId="0" borderId="0" xfId="0" applyFont="1" applyAlignment="1" applyProtection="1">
      <alignment horizontal="center"/>
      <protection locked="0"/>
    </xf>
    <xf numFmtId="173" fontId="104" fillId="0" borderId="0" xfId="0" applyNumberFormat="1" applyFont="1" applyAlignment="1" applyProtection="1">
      <alignment horizontal="center" vertical="center" wrapText="1"/>
      <protection locked="0"/>
    </xf>
    <xf numFmtId="0" fontId="104" fillId="0" borderId="0" xfId="0" applyFont="1" applyAlignment="1" applyProtection="1">
      <alignment horizontal="center" vertical="center" wrapText="1"/>
      <protection locked="0"/>
    </xf>
    <xf numFmtId="173" fontId="106" fillId="0" borderId="0" xfId="42" applyNumberFormat="1" applyFont="1" applyAlignment="1" applyProtection="1">
      <alignment horizontal="right"/>
      <protection locked="0"/>
    </xf>
    <xf numFmtId="185" fontId="106" fillId="0" borderId="0" xfId="0" applyNumberFormat="1" applyFont="1" applyAlignment="1" applyProtection="1">
      <alignment horizontal="center"/>
      <protection locked="0"/>
    </xf>
    <xf numFmtId="173" fontId="106" fillId="0" borderId="22" xfId="42" applyNumberFormat="1" applyFont="1" applyBorder="1" applyAlignment="1" applyProtection="1">
      <alignment horizontal="right"/>
      <protection locked="0"/>
    </xf>
    <xf numFmtId="173" fontId="104" fillId="0" borderId="22" xfId="0" applyNumberFormat="1" applyFont="1" applyBorder="1" applyAlignment="1" applyProtection="1">
      <alignment horizontal="center"/>
      <protection locked="0"/>
    </xf>
    <xf numFmtId="4" fontId="103" fillId="0" borderId="0" xfId="0" applyNumberFormat="1" applyFont="1" applyAlignment="1" applyProtection="1">
      <alignment/>
      <protection locked="0"/>
    </xf>
    <xf numFmtId="0" fontId="107" fillId="0" borderId="0" xfId="0" applyFont="1" applyAlignment="1" applyProtection="1">
      <alignment/>
      <protection locked="0"/>
    </xf>
    <xf numFmtId="173" fontId="103" fillId="0" borderId="0" xfId="0" applyNumberFormat="1" applyFont="1" applyAlignment="1" applyProtection="1">
      <alignment/>
      <protection locked="0"/>
    </xf>
    <xf numFmtId="0" fontId="107" fillId="0" borderId="0" xfId="0" applyFont="1" applyAlignment="1" applyProtection="1">
      <alignment horizontal="left"/>
      <protection locked="0"/>
    </xf>
    <xf numFmtId="1" fontId="0" fillId="0" borderId="20" xfId="42" applyNumberFormat="1" applyFont="1" applyBorder="1" applyAlignment="1" applyProtection="1">
      <alignment horizontal="center"/>
      <protection/>
    </xf>
    <xf numFmtId="1" fontId="5" fillId="35" borderId="20" xfId="42" applyNumberFormat="1" applyFont="1" applyFill="1" applyBorder="1" applyAlignment="1" applyProtection="1">
      <alignment horizontal="center"/>
      <protection locked="0"/>
    </xf>
    <xf numFmtId="1" fontId="5" fillId="35" borderId="0" xfId="42" applyNumberFormat="1" applyFont="1" applyFill="1" applyBorder="1" applyAlignment="1" applyProtection="1">
      <alignment horizontal="center"/>
      <protection locked="0"/>
    </xf>
    <xf numFmtId="43" fontId="0" fillId="38" borderId="0" xfId="42" applyFont="1" applyFill="1" applyBorder="1" applyAlignment="1" applyProtection="1">
      <alignment vertical="top" wrapText="1"/>
      <protection locked="0"/>
    </xf>
    <xf numFmtId="43" fontId="1" fillId="34" borderId="0" xfId="42" applyFont="1" applyFill="1" applyBorder="1" applyAlignment="1" applyProtection="1">
      <alignment horizontal="center"/>
      <protection/>
    </xf>
    <xf numFmtId="43" fontId="0" fillId="0" borderId="0" xfId="42" applyFont="1" applyBorder="1" applyAlignment="1" applyProtection="1">
      <alignment vertical="top" wrapText="1"/>
      <protection/>
    </xf>
    <xf numFmtId="43" fontId="0" fillId="0" borderId="0" xfId="42" applyFont="1" applyBorder="1" applyAlignment="1" applyProtection="1">
      <alignment/>
      <protection/>
    </xf>
    <xf numFmtId="43" fontId="108" fillId="35" borderId="0" xfId="42" applyFont="1" applyFill="1" applyBorder="1" applyAlignment="1" applyProtection="1">
      <alignment horizontal="center"/>
      <protection locked="0"/>
    </xf>
    <xf numFmtId="2" fontId="0" fillId="0" borderId="0" xfId="42" applyNumberFormat="1"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fill>
        <patternFill>
          <bgColor indexed="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39</xdr:row>
      <xdr:rowOff>142875</xdr:rowOff>
    </xdr:from>
    <xdr:to>
      <xdr:col>2</xdr:col>
      <xdr:colOff>4752975</xdr:colOff>
      <xdr:row>46</xdr:row>
      <xdr:rowOff>161925</xdr:rowOff>
    </xdr:to>
    <xdr:sp>
      <xdr:nvSpPr>
        <xdr:cNvPr id="1" name="Text Box 1"/>
        <xdr:cNvSpPr txBox="1">
          <a:spLocks noChangeArrowheads="1"/>
        </xdr:cNvSpPr>
      </xdr:nvSpPr>
      <xdr:spPr>
        <a:xfrm>
          <a:off x="2476500" y="7372350"/>
          <a:ext cx="5238750" cy="1162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These are the maximum estimated figures in Euros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costs may be different depending on where you stay in Maynooth, Kildare or Dublin and whether you have your dependent children with you in Ireland. If you believe your costs will be different, then please adjust the weekly figures in the boxes. There is an undisclosed maximum value and if you exceed this value then your expected costs will be disallowed without full justification.</a:t>
          </a:r>
        </a:p>
      </xdr:txBody>
    </xdr:sp>
    <xdr:clientData/>
  </xdr:twoCellAnchor>
  <xdr:twoCellAnchor editAs="oneCell">
    <xdr:from>
      <xdr:col>0</xdr:col>
      <xdr:colOff>66675</xdr:colOff>
      <xdr:row>0</xdr:row>
      <xdr:rowOff>123825</xdr:rowOff>
    </xdr:from>
    <xdr:to>
      <xdr:col>2</xdr:col>
      <xdr:colOff>161925</xdr:colOff>
      <xdr:row>10</xdr:row>
      <xdr:rowOff>47625</xdr:rowOff>
    </xdr:to>
    <xdr:pic>
      <xdr:nvPicPr>
        <xdr:cNvPr id="2" name="Picture 3" descr="NUIM-I-SQR-4c"/>
        <xdr:cNvPicPr preferRelativeResize="1">
          <a:picLocks noChangeAspect="1"/>
        </xdr:cNvPicPr>
      </xdr:nvPicPr>
      <xdr:blipFill>
        <a:blip r:embed="rId1"/>
        <a:stretch>
          <a:fillRect/>
        </a:stretch>
      </xdr:blipFill>
      <xdr:spPr>
        <a:xfrm>
          <a:off x="66675" y="123825"/>
          <a:ext cx="3057525" cy="1838325"/>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G8:G10" comment="" totalsRowShown="0">
  <autoFilter ref="G8:G10"/>
  <tableColumns count="1">
    <tableColumn id="1" name="Depend"/>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36"/>
  <sheetViews>
    <sheetView zoomScalePageLayoutView="0" workbookViewId="0" topLeftCell="A16">
      <selection activeCell="A47" sqref="A47"/>
    </sheetView>
  </sheetViews>
  <sheetFormatPr defaultColWidth="9.140625" defaultRowHeight="12.75"/>
  <cols>
    <col min="1" max="1" width="122.8515625" style="103" bestFit="1" customWidth="1"/>
  </cols>
  <sheetData>
    <row r="1" s="67" customFormat="1" ht="18.75">
      <c r="A1" s="106" t="s">
        <v>139</v>
      </c>
    </row>
    <row r="2" s="67" customFormat="1" ht="18.75">
      <c r="A2" s="106"/>
    </row>
    <row r="3" ht="15.75">
      <c r="A3" s="104" t="s">
        <v>130</v>
      </c>
    </row>
    <row r="4" ht="12.75">
      <c r="A4" s="107" t="s">
        <v>121</v>
      </c>
    </row>
    <row r="5" ht="12.75">
      <c r="A5" s="107" t="s">
        <v>122</v>
      </c>
    </row>
    <row r="6" ht="12.75">
      <c r="A6" s="108" t="s">
        <v>125</v>
      </c>
    </row>
    <row r="8" ht="15.75">
      <c r="A8" s="109" t="s">
        <v>124</v>
      </c>
    </row>
    <row r="9" ht="12.75">
      <c r="A9" s="107" t="s">
        <v>123</v>
      </c>
    </row>
    <row r="10" ht="12.75">
      <c r="A10" s="107" t="s">
        <v>265</v>
      </c>
    </row>
    <row r="11" ht="12.75">
      <c r="A11" s="107" t="s">
        <v>266</v>
      </c>
    </row>
    <row r="12" ht="12.75">
      <c r="A12" s="107"/>
    </row>
    <row r="13" s="66" customFormat="1" ht="15.75">
      <c r="A13" s="104" t="s">
        <v>335</v>
      </c>
    </row>
    <row r="14" s="66" customFormat="1" ht="15.75">
      <c r="A14" s="208" t="s">
        <v>334</v>
      </c>
    </row>
    <row r="15" ht="12.75">
      <c r="A15" s="103" t="s">
        <v>159</v>
      </c>
    </row>
    <row r="16" ht="12.75">
      <c r="A16" s="107" t="s">
        <v>164</v>
      </c>
    </row>
    <row r="17" ht="12.75">
      <c r="A17" s="107" t="s">
        <v>268</v>
      </c>
    </row>
    <row r="18" ht="12.75">
      <c r="A18" s="107" t="s">
        <v>264</v>
      </c>
    </row>
    <row r="19" ht="12.75">
      <c r="A19" s="107" t="s">
        <v>163</v>
      </c>
    </row>
    <row r="20" ht="12.75">
      <c r="A20" s="107" t="s">
        <v>126</v>
      </c>
    </row>
    <row r="21" ht="12.75">
      <c r="A21" s="107" t="s">
        <v>127</v>
      </c>
    </row>
    <row r="22" ht="12.75">
      <c r="A22" s="107" t="s">
        <v>168</v>
      </c>
    </row>
    <row r="24" s="66" customFormat="1" ht="15.75">
      <c r="A24" s="104" t="s">
        <v>258</v>
      </c>
    </row>
    <row r="25" ht="12.75">
      <c r="A25" s="103" t="s">
        <v>259</v>
      </c>
    </row>
    <row r="26" ht="12.75">
      <c r="A26" s="107" t="s">
        <v>260</v>
      </c>
    </row>
    <row r="27" ht="12.75">
      <c r="A27" s="108" t="s">
        <v>261</v>
      </c>
    </row>
    <row r="29" s="66" customFormat="1" ht="15.75">
      <c r="A29" s="104" t="s">
        <v>263</v>
      </c>
    </row>
    <row r="30" s="68" customFormat="1" ht="12.75">
      <c r="A30" s="107" t="s">
        <v>267</v>
      </c>
    </row>
    <row r="31" ht="12.75">
      <c r="A31" s="107" t="s">
        <v>317</v>
      </c>
    </row>
    <row r="32" s="68" customFormat="1" ht="12.75">
      <c r="A32" s="102"/>
    </row>
    <row r="33" ht="12.75">
      <c r="A33" s="105" t="s">
        <v>262</v>
      </c>
    </row>
    <row r="34" ht="12.75">
      <c r="A34" s="110" t="s">
        <v>145</v>
      </c>
    </row>
    <row r="35" ht="12.75">
      <c r="A35" s="192" t="s">
        <v>318</v>
      </c>
    </row>
    <row r="36" ht="15.75">
      <c r="A36" s="193" t="s">
        <v>319</v>
      </c>
    </row>
  </sheetData>
  <sheetProtection selectLockedCells="1" selectUnlockedCells="1"/>
  <printOptions/>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B32"/>
  <sheetViews>
    <sheetView zoomScalePageLayoutView="0" workbookViewId="0" topLeftCell="A1">
      <selection activeCell="C8" sqref="C8"/>
    </sheetView>
  </sheetViews>
  <sheetFormatPr defaultColWidth="9.140625" defaultRowHeight="12.75"/>
  <cols>
    <col min="1" max="1" width="24.140625" style="82" customWidth="1"/>
    <col min="2" max="2" width="100.140625" style="77" customWidth="1"/>
  </cols>
  <sheetData>
    <row r="1" spans="1:2" s="80" customFormat="1" ht="18">
      <c r="A1" s="81" t="s">
        <v>146</v>
      </c>
      <c r="B1" s="79"/>
    </row>
    <row r="2" ht="18">
      <c r="A2" s="81"/>
    </row>
    <row r="3" spans="1:2" ht="51">
      <c r="A3" s="82" t="s">
        <v>140</v>
      </c>
      <c r="B3" s="77" t="s">
        <v>313</v>
      </c>
    </row>
    <row r="5" spans="1:2" ht="38.25">
      <c r="A5" s="83" t="s">
        <v>2</v>
      </c>
      <c r="B5" s="77" t="s">
        <v>314</v>
      </c>
    </row>
    <row r="7" spans="1:2" ht="38.25">
      <c r="A7" s="83" t="s">
        <v>9</v>
      </c>
      <c r="B7" s="77" t="s">
        <v>371</v>
      </c>
    </row>
    <row r="9" spans="1:2" ht="25.5">
      <c r="A9" s="83" t="s">
        <v>5</v>
      </c>
      <c r="B9" s="77" t="s">
        <v>141</v>
      </c>
    </row>
    <row r="11" spans="1:2" ht="12.75">
      <c r="A11" s="83" t="s">
        <v>33</v>
      </c>
      <c r="B11" s="77" t="s">
        <v>315</v>
      </c>
    </row>
    <row r="13" spans="1:2" ht="12.75">
      <c r="A13" s="83" t="s">
        <v>3</v>
      </c>
      <c r="B13" s="77" t="s">
        <v>316</v>
      </c>
    </row>
    <row r="15" spans="1:2" ht="12.75">
      <c r="A15" s="82" t="s">
        <v>142</v>
      </c>
      <c r="B15" s="77" t="s">
        <v>372</v>
      </c>
    </row>
    <row r="17" spans="1:2" ht="12.75">
      <c r="A17" s="82" t="s">
        <v>143</v>
      </c>
      <c r="B17" s="77" t="s">
        <v>325</v>
      </c>
    </row>
    <row r="19" spans="1:2" ht="12.75">
      <c r="A19" s="82" t="s">
        <v>369</v>
      </c>
      <c r="B19" s="77" t="s">
        <v>370</v>
      </c>
    </row>
    <row r="21" spans="1:2" ht="51">
      <c r="A21" s="82" t="s">
        <v>144</v>
      </c>
      <c r="B21" s="77" t="s">
        <v>167</v>
      </c>
    </row>
    <row r="23" spans="1:2" ht="12.75">
      <c r="A23" s="82" t="s">
        <v>186</v>
      </c>
      <c r="B23" s="77" t="s">
        <v>187</v>
      </c>
    </row>
    <row r="24" ht="12.75">
      <c r="B24" s="77" t="s">
        <v>194</v>
      </c>
    </row>
    <row r="25" ht="12.75">
      <c r="B25" s="77" t="s">
        <v>188</v>
      </c>
    </row>
    <row r="27" spans="1:2" ht="12.75">
      <c r="A27" s="82" t="s">
        <v>147</v>
      </c>
      <c r="B27" s="77" t="s">
        <v>148</v>
      </c>
    </row>
    <row r="28" ht="12.75">
      <c r="B28" s="77" t="s">
        <v>323</v>
      </c>
    </row>
    <row r="29" ht="12.75">
      <c r="B29" s="77" t="s">
        <v>324</v>
      </c>
    </row>
    <row r="31" spans="1:2" ht="12.75">
      <c r="A31" s="82" t="s">
        <v>149</v>
      </c>
      <c r="B31" s="77" t="s">
        <v>368</v>
      </c>
    </row>
    <row r="32" ht="12.75">
      <c r="B32" s="78" t="s">
        <v>150</v>
      </c>
    </row>
  </sheetData>
  <sheetProtection selectLockedCells="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X100"/>
  <sheetViews>
    <sheetView tabSelected="1" zoomScale="75" zoomScaleNormal="75" zoomScalePageLayoutView="0" workbookViewId="0" topLeftCell="A1">
      <selection activeCell="C2" sqref="C2"/>
    </sheetView>
  </sheetViews>
  <sheetFormatPr defaultColWidth="9.140625" defaultRowHeight="12.75"/>
  <cols>
    <col min="1" max="1" width="29.7109375" style="62" bestFit="1" customWidth="1"/>
    <col min="2" max="2" width="14.7109375" style="62" customWidth="1"/>
    <col min="3" max="3" width="96.421875" style="44" customWidth="1"/>
    <col min="4" max="4" width="34.57421875" style="15" bestFit="1" customWidth="1"/>
    <col min="5" max="5" width="21.421875" style="15" customWidth="1"/>
    <col min="6" max="6" width="8.421875" style="254" customWidth="1"/>
    <col min="7" max="7" width="45.28125" style="292" hidden="1" customWidth="1"/>
    <col min="8" max="8" width="62.28125" style="292" hidden="1" customWidth="1"/>
    <col min="9" max="9" width="18.57421875" style="292" hidden="1" customWidth="1"/>
    <col min="10" max="10" width="20.8515625" style="292" hidden="1" customWidth="1"/>
    <col min="11" max="11" width="41.421875" style="292" hidden="1" customWidth="1"/>
    <col min="12" max="12" width="20.57421875" style="292" hidden="1" customWidth="1"/>
    <col min="13" max="13" width="20.140625" style="292" hidden="1" customWidth="1"/>
    <col min="14" max="14" width="16.140625" style="292" hidden="1" customWidth="1"/>
    <col min="15" max="15" width="10.8515625" style="292" hidden="1" customWidth="1"/>
    <col min="16" max="16" width="7.57421875" style="292" hidden="1" customWidth="1"/>
    <col min="17" max="17" width="7.7109375" style="292" hidden="1" customWidth="1"/>
    <col min="18" max="18" width="5.421875" style="280" customWidth="1"/>
    <col min="19" max="19" width="7.57421875" style="280" customWidth="1"/>
    <col min="20" max="20" width="9.140625" style="280" customWidth="1"/>
    <col min="21" max="24" width="9.140625" style="235" customWidth="1"/>
    <col min="25" max="16384" width="9.140625" style="44" customWidth="1"/>
  </cols>
  <sheetData>
    <row r="1" spans="1:24" s="187" customFormat="1" ht="20.25">
      <c r="A1" s="1"/>
      <c r="B1" s="1"/>
      <c r="D1" s="3"/>
      <c r="E1" s="4"/>
      <c r="F1" s="251"/>
      <c r="G1" s="284"/>
      <c r="H1" s="284"/>
      <c r="I1" s="284"/>
      <c r="J1" s="284"/>
      <c r="K1" s="284"/>
      <c r="L1" s="285"/>
      <c r="M1" s="285"/>
      <c r="N1" s="285"/>
      <c r="O1" s="285"/>
      <c r="P1" s="285"/>
      <c r="Q1" s="285"/>
      <c r="U1" s="233"/>
      <c r="V1" s="233"/>
      <c r="W1" s="233"/>
      <c r="X1" s="233"/>
    </row>
    <row r="2" spans="1:24" s="187" customFormat="1" ht="18" customHeight="1">
      <c r="A2" s="1"/>
      <c r="B2" s="1"/>
      <c r="C2" s="2" t="s">
        <v>26</v>
      </c>
      <c r="D2" s="3"/>
      <c r="E2" s="4"/>
      <c r="F2" s="251"/>
      <c r="G2" s="285"/>
      <c r="H2" s="284"/>
      <c r="I2" s="284"/>
      <c r="J2" s="285"/>
      <c r="K2" s="285"/>
      <c r="L2" s="285"/>
      <c r="M2" s="285"/>
      <c r="N2" s="285"/>
      <c r="O2" s="285"/>
      <c r="P2" s="285"/>
      <c r="Q2" s="285"/>
      <c r="U2" s="233"/>
      <c r="V2" s="233"/>
      <c r="W2" s="233"/>
      <c r="X2" s="233"/>
    </row>
    <row r="3" spans="1:24" s="114" customFormat="1" ht="18" customHeight="1">
      <c r="A3" s="5"/>
      <c r="B3" s="5"/>
      <c r="C3" s="2" t="s">
        <v>27</v>
      </c>
      <c r="D3" s="7"/>
      <c r="E3" s="8"/>
      <c r="F3" s="252"/>
      <c r="G3" s="286"/>
      <c r="H3" s="287"/>
      <c r="I3" s="287"/>
      <c r="J3" s="286"/>
      <c r="K3" s="286"/>
      <c r="L3" s="286"/>
      <c r="M3" s="286"/>
      <c r="N3" s="286"/>
      <c r="O3" s="286"/>
      <c r="P3" s="286"/>
      <c r="Q3" s="286"/>
      <c r="U3" s="234"/>
      <c r="V3" s="234"/>
      <c r="W3" s="234"/>
      <c r="X3" s="234"/>
    </row>
    <row r="4" spans="1:24" s="114" customFormat="1" ht="18" customHeight="1">
      <c r="A4" s="5"/>
      <c r="B4" s="5"/>
      <c r="C4" s="2" t="s">
        <v>367</v>
      </c>
      <c r="F4" s="252"/>
      <c r="G4" s="286"/>
      <c r="H4" s="287"/>
      <c r="I4" s="287"/>
      <c r="J4" s="286"/>
      <c r="K4" s="286"/>
      <c r="L4" s="286"/>
      <c r="M4" s="286"/>
      <c r="N4" s="286"/>
      <c r="O4" s="286"/>
      <c r="P4" s="286"/>
      <c r="Q4" s="286"/>
      <c r="U4" s="234"/>
      <c r="V4" s="234"/>
      <c r="W4" s="234"/>
      <c r="X4" s="234"/>
    </row>
    <row r="5" spans="1:24" s="114" customFormat="1" ht="12.75">
      <c r="A5" s="5"/>
      <c r="B5" s="5"/>
      <c r="C5" s="6" t="s">
        <v>192</v>
      </c>
      <c r="F5" s="253"/>
      <c r="G5" s="286"/>
      <c r="H5" s="288">
        <f>'School DATA'!H48</f>
        <v>102634</v>
      </c>
      <c r="I5" s="289" t="s">
        <v>25</v>
      </c>
      <c r="J5" s="287"/>
      <c r="K5" s="287"/>
      <c r="L5" s="286"/>
      <c r="M5" s="286"/>
      <c r="N5" s="286"/>
      <c r="O5" s="286"/>
      <c r="P5" s="286"/>
      <c r="Q5" s="286"/>
      <c r="U5" s="234"/>
      <c r="V5" s="234"/>
      <c r="W5" s="234"/>
      <c r="X5" s="234"/>
    </row>
    <row r="6" spans="1:24" s="114" customFormat="1" ht="12.75">
      <c r="A6" s="5"/>
      <c r="B6" s="5"/>
      <c r="C6" s="188" t="s">
        <v>296</v>
      </c>
      <c r="E6" s="112">
        <v>43221</v>
      </c>
      <c r="F6" s="253"/>
      <c r="G6" s="286"/>
      <c r="H6" s="288">
        <f>'School DATA'!H50</f>
        <v>107034.94592</v>
      </c>
      <c r="I6" s="289" t="s">
        <v>132</v>
      </c>
      <c r="J6" s="287"/>
      <c r="K6" s="287"/>
      <c r="L6" s="286"/>
      <c r="M6" s="286"/>
      <c r="N6" s="286"/>
      <c r="O6" s="286"/>
      <c r="P6" s="286"/>
      <c r="Q6" s="286"/>
      <c r="U6" s="234"/>
      <c r="V6" s="234"/>
      <c r="W6" s="234"/>
      <c r="X6" s="234"/>
    </row>
    <row r="7" spans="1:24" s="114" customFormat="1" ht="12.75">
      <c r="A7" s="5"/>
      <c r="B7" s="5"/>
      <c r="C7" s="6" t="s">
        <v>353</v>
      </c>
      <c r="D7" s="114">
        <v>1.25</v>
      </c>
      <c r="E7" s="275">
        <v>43221</v>
      </c>
      <c r="F7" s="252"/>
      <c r="G7" s="286"/>
      <c r="H7" s="289"/>
      <c r="I7" s="287"/>
      <c r="J7" s="286"/>
      <c r="K7" s="286"/>
      <c r="L7" s="286"/>
      <c r="M7" s="286"/>
      <c r="N7" s="286"/>
      <c r="O7" s="286"/>
      <c r="P7" s="286"/>
      <c r="Q7" s="286"/>
      <c r="U7" s="234"/>
      <c r="V7" s="234"/>
      <c r="W7" s="234"/>
      <c r="X7" s="234"/>
    </row>
    <row r="8" spans="1:24" s="114" customFormat="1" ht="12.75">
      <c r="A8" s="5"/>
      <c r="B8" s="5"/>
      <c r="C8" s="10" t="s">
        <v>166</v>
      </c>
      <c r="D8" s="9"/>
      <c r="E8" s="113">
        <v>43160</v>
      </c>
      <c r="F8" s="252"/>
      <c r="G8" s="286" t="s">
        <v>70</v>
      </c>
      <c r="H8" s="290" t="s">
        <v>22</v>
      </c>
      <c r="I8" s="290" t="s">
        <v>23</v>
      </c>
      <c r="J8" s="286"/>
      <c r="K8" s="286"/>
      <c r="L8" s="286"/>
      <c r="M8" s="286"/>
      <c r="N8" s="286"/>
      <c r="O8" s="286"/>
      <c r="P8" s="286"/>
      <c r="Q8" s="286"/>
      <c r="U8" s="234"/>
      <c r="V8" s="234"/>
      <c r="W8" s="234"/>
      <c r="X8" s="234"/>
    </row>
    <row r="9" spans="1:24" s="114" customFormat="1" ht="12.75">
      <c r="A9" s="5"/>
      <c r="B9" s="5"/>
      <c r="C9" s="10" t="s">
        <v>41</v>
      </c>
      <c r="D9" s="11">
        <v>38</v>
      </c>
      <c r="E9" s="8"/>
      <c r="F9" s="252"/>
      <c r="G9" s="286" t="s">
        <v>68</v>
      </c>
      <c r="H9" s="291" t="s">
        <v>7</v>
      </c>
      <c r="I9" s="291">
        <v>1</v>
      </c>
      <c r="J9" s="286"/>
      <c r="K9" s="286"/>
      <c r="L9" s="286"/>
      <c r="M9" s="286"/>
      <c r="N9" s="286"/>
      <c r="O9" s="286"/>
      <c r="P9" s="286"/>
      <c r="Q9" s="286"/>
      <c r="U9" s="234"/>
      <c r="V9" s="234"/>
      <c r="W9" s="234"/>
      <c r="X9" s="234"/>
    </row>
    <row r="10" spans="1:9" ht="12.75">
      <c r="A10" s="12"/>
      <c r="B10" s="12"/>
      <c r="C10" s="10" t="s">
        <v>42</v>
      </c>
      <c r="D10" s="11">
        <f>'School DATA'!E13</f>
        <v>52</v>
      </c>
      <c r="E10" s="8"/>
      <c r="G10" s="292" t="s">
        <v>69</v>
      </c>
      <c r="H10" s="291" t="s">
        <v>6</v>
      </c>
      <c r="I10" s="291">
        <v>2</v>
      </c>
    </row>
    <row r="11" spans="1:14" ht="13.5" thickBot="1">
      <c r="A11" s="12"/>
      <c r="B11" s="12"/>
      <c r="C11" s="13"/>
      <c r="D11" s="14"/>
      <c r="G11" s="293"/>
      <c r="H11" s="291"/>
      <c r="I11" s="291" t="s">
        <v>339</v>
      </c>
      <c r="M11" s="286" t="s">
        <v>137</v>
      </c>
      <c r="N11" s="286"/>
    </row>
    <row r="12" spans="1:14" ht="18">
      <c r="A12" s="16">
        <v>1</v>
      </c>
      <c r="B12" s="69"/>
      <c r="C12" s="115" t="s">
        <v>298</v>
      </c>
      <c r="D12" s="116"/>
      <c r="E12" s="17"/>
      <c r="F12" s="255"/>
      <c r="G12" s="292" t="s">
        <v>303</v>
      </c>
      <c r="H12" s="294" t="s">
        <v>49</v>
      </c>
      <c r="I12" s="294" t="s">
        <v>91</v>
      </c>
      <c r="L12" s="294" t="s">
        <v>184</v>
      </c>
      <c r="M12" s="294" t="s">
        <v>96</v>
      </c>
      <c r="N12" s="286" t="s">
        <v>138</v>
      </c>
    </row>
    <row r="13" spans="1:14" ht="12.75">
      <c r="A13" s="18"/>
      <c r="B13" s="70"/>
      <c r="C13" s="19"/>
      <c r="D13" s="20"/>
      <c r="E13" s="21"/>
      <c r="F13" s="255"/>
      <c r="G13" s="292" t="s">
        <v>304</v>
      </c>
      <c r="H13" s="291" t="s">
        <v>92</v>
      </c>
      <c r="I13" s="291" t="s">
        <v>93</v>
      </c>
      <c r="J13" s="295">
        <f>'School DATA'!D7</f>
        <v>41913</v>
      </c>
      <c r="L13" s="296">
        <f>COUNT(M13:M19)</f>
        <v>3</v>
      </c>
      <c r="M13" s="297">
        <f>IF(('School DATA'!D18&gt;10/10/2010),'School DATA'!D18,"")</f>
        <v>41913</v>
      </c>
      <c r="N13" s="298">
        <f>IF((ISNUMBER(M13)),(E89/L13),"")</f>
        <v>4122</v>
      </c>
    </row>
    <row r="14" spans="1:14" ht="15.75">
      <c r="A14" s="22" t="s">
        <v>79</v>
      </c>
      <c r="B14" s="71"/>
      <c r="C14" s="117" t="s">
        <v>113</v>
      </c>
      <c r="D14" s="23"/>
      <c r="E14" s="24"/>
      <c r="F14" s="256"/>
      <c r="H14" s="291"/>
      <c r="I14" s="291" t="s">
        <v>94</v>
      </c>
      <c r="J14" s="295">
        <f>'School DATA'!D11</f>
        <v>41825</v>
      </c>
      <c r="L14" s="291" t="s">
        <v>134</v>
      </c>
      <c r="M14" s="297">
        <f>IF(('School DATA'!D19&gt;10/10/2010),'School DATA'!D19,"")</f>
        <v>42016</v>
      </c>
      <c r="N14" s="298">
        <f>IF((ISNUMBER(M14)),(E89/L13),"")</f>
        <v>4122</v>
      </c>
    </row>
    <row r="15" spans="1:14" ht="15.75">
      <c r="A15" s="61" t="s">
        <v>336</v>
      </c>
      <c r="B15" s="61"/>
      <c r="C15" s="117" t="s">
        <v>114</v>
      </c>
      <c r="D15" s="23"/>
      <c r="E15" s="24"/>
      <c r="F15" s="256"/>
      <c r="H15" s="291" t="s">
        <v>95</v>
      </c>
      <c r="I15" s="291" t="s">
        <v>93</v>
      </c>
      <c r="J15" s="295">
        <f>'School DATA'!D7</f>
        <v>41913</v>
      </c>
      <c r="L15" s="291" t="s">
        <v>135</v>
      </c>
      <c r="M15" s="297">
        <f>IF(('School DATA'!D20&gt;10/10/2010),'School DATA'!D20,"")</f>
        <v>42121</v>
      </c>
      <c r="N15" s="298">
        <f>IF((ISNUMBER(M15)),(E89/L13),"")</f>
        <v>4122</v>
      </c>
    </row>
    <row r="16" spans="1:15" ht="15">
      <c r="A16" s="47" t="s">
        <v>71</v>
      </c>
      <c r="B16" s="72"/>
      <c r="C16" s="135" t="s">
        <v>115</v>
      </c>
      <c r="D16" s="23"/>
      <c r="E16" s="24"/>
      <c r="F16" s="256"/>
      <c r="H16" s="291"/>
      <c r="I16" s="291" t="s">
        <v>94</v>
      </c>
      <c r="J16" s="295">
        <f>'School DATA'!E7</f>
        <v>42277</v>
      </c>
      <c r="L16" s="291" t="s">
        <v>136</v>
      </c>
      <c r="M16" s="297">
        <f>IF(('School DATA'!D21&gt;10/10/2010),'School DATA'!D21,"")</f>
      </c>
      <c r="N16" s="298">
        <f>IF((ISNUMBER(M16)),(E89/L13),"")</f>
      </c>
      <c r="O16" s="298"/>
    </row>
    <row r="17" spans="1:6" ht="15">
      <c r="A17" s="47" t="s">
        <v>72</v>
      </c>
      <c r="B17" s="72"/>
      <c r="C17" s="135" t="s">
        <v>116</v>
      </c>
      <c r="D17" s="23"/>
      <c r="E17" s="24"/>
      <c r="F17" s="256"/>
    </row>
    <row r="18" spans="1:6" ht="15">
      <c r="A18" s="47" t="s">
        <v>73</v>
      </c>
      <c r="B18" s="72"/>
      <c r="C18" s="135" t="s">
        <v>117</v>
      </c>
      <c r="D18" s="23"/>
      <c r="E18" s="24"/>
      <c r="F18" s="256"/>
    </row>
    <row r="19" spans="1:6" ht="15">
      <c r="A19" s="47" t="s">
        <v>74</v>
      </c>
      <c r="B19" s="72"/>
      <c r="C19" s="135" t="s">
        <v>118</v>
      </c>
      <c r="D19" s="23"/>
      <c r="E19" s="24"/>
      <c r="F19" s="256"/>
    </row>
    <row r="20" spans="1:11" ht="15.75">
      <c r="A20" s="48" t="s">
        <v>75</v>
      </c>
      <c r="B20" s="48"/>
      <c r="C20" s="135" t="s">
        <v>190</v>
      </c>
      <c r="D20" s="23"/>
      <c r="E20" s="24"/>
      <c r="F20" s="256"/>
      <c r="K20" s="294"/>
    </row>
    <row r="21" spans="1:11" ht="15">
      <c r="A21" s="48" t="s">
        <v>76</v>
      </c>
      <c r="B21" s="48"/>
      <c r="C21" s="136" t="s">
        <v>191</v>
      </c>
      <c r="D21" s="23"/>
      <c r="E21" s="24"/>
      <c r="F21" s="256"/>
      <c r="H21" s="286" t="s">
        <v>352</v>
      </c>
      <c r="K21" s="286" t="s">
        <v>170</v>
      </c>
    </row>
    <row r="22" spans="1:17" ht="15.75">
      <c r="A22" s="48" t="s">
        <v>77</v>
      </c>
      <c r="B22" s="48"/>
      <c r="C22" s="137">
        <v>19358</v>
      </c>
      <c r="D22" s="23"/>
      <c r="E22" s="24"/>
      <c r="F22" s="256"/>
      <c r="G22" s="299" t="s">
        <v>10</v>
      </c>
      <c r="H22" s="300" t="s">
        <v>44</v>
      </c>
      <c r="I22" s="300" t="s">
        <v>45</v>
      </c>
      <c r="J22" s="301"/>
      <c r="K22" s="301" t="s">
        <v>10</v>
      </c>
      <c r="L22" s="300" t="s">
        <v>44</v>
      </c>
      <c r="M22" s="300" t="s">
        <v>45</v>
      </c>
      <c r="N22" s="300"/>
      <c r="O22" s="301"/>
      <c r="P22" s="301"/>
      <c r="Q22" s="301"/>
    </row>
    <row r="23" spans="1:17" ht="15.75">
      <c r="A23" s="61" t="s">
        <v>78</v>
      </c>
      <c r="B23" s="61"/>
      <c r="C23" s="118" t="s">
        <v>119</v>
      </c>
      <c r="D23" s="23"/>
      <c r="E23" s="24"/>
      <c r="F23" s="256"/>
      <c r="G23" s="302">
        <f>IF(D26="Y",0,K23)</f>
        <v>0</v>
      </c>
      <c r="H23" s="301"/>
      <c r="I23" s="303">
        <f>IF((D26="N"),M23,0)</f>
        <v>0</v>
      </c>
      <c r="J23" s="292" t="s">
        <v>11</v>
      </c>
      <c r="K23" s="292">
        <v>0</v>
      </c>
      <c r="L23" s="301">
        <v>0</v>
      </c>
      <c r="M23" s="292">
        <v>20500</v>
      </c>
      <c r="O23" s="301"/>
      <c r="P23" s="301"/>
      <c r="Q23" s="301"/>
    </row>
    <row r="24" spans="1:24" s="189" customFormat="1" ht="15">
      <c r="A24" s="22" t="s">
        <v>8</v>
      </c>
      <c r="B24" s="71"/>
      <c r="C24" s="119" t="s">
        <v>120</v>
      </c>
      <c r="D24" s="23"/>
      <c r="E24" s="24"/>
      <c r="F24" s="256"/>
      <c r="G24" s="302">
        <f>IF((AND(D26="Y",D27="N",D29=1)),K24,0)</f>
        <v>0</v>
      </c>
      <c r="H24" s="292">
        <f>IF((AND(D26="Y",D30="D",D29=1)),L24,0)</f>
        <v>0</v>
      </c>
      <c r="I24" s="292">
        <f>IF((AND(D26="Y",D30="I",D29=1)),M24,0)</f>
        <v>0</v>
      </c>
      <c r="J24" s="292" t="s">
        <v>12</v>
      </c>
      <c r="K24" s="292">
        <v>3500</v>
      </c>
      <c r="L24" s="292">
        <v>2000</v>
      </c>
      <c r="M24" s="292">
        <v>6000</v>
      </c>
      <c r="N24" s="292"/>
      <c r="O24" s="301"/>
      <c r="P24" s="301"/>
      <c r="Q24" s="301"/>
      <c r="R24" s="281"/>
      <c r="S24" s="281"/>
      <c r="T24" s="281"/>
      <c r="U24" s="236"/>
      <c r="V24" s="236"/>
      <c r="W24" s="236"/>
      <c r="X24" s="236"/>
    </row>
    <row r="25" spans="1:24" s="189" customFormat="1" ht="15">
      <c r="A25" s="18"/>
      <c r="B25" s="70"/>
      <c r="C25" s="19"/>
      <c r="D25" s="360" t="s">
        <v>358</v>
      </c>
      <c r="E25" s="21"/>
      <c r="F25" s="255"/>
      <c r="G25" s="302">
        <f>IF((AND(D26="Y",D27="N",D29=2)),K25,0)</f>
        <v>0</v>
      </c>
      <c r="H25" s="292">
        <f>IF((AND(D26="Y",D30="D",D29=2)),L25,0)</f>
        <v>0</v>
      </c>
      <c r="I25" s="292">
        <f>IF((AND(D26="Y",D30="I",D29=2)),M25,0)</f>
        <v>0</v>
      </c>
      <c r="J25" s="292" t="s">
        <v>13</v>
      </c>
      <c r="K25" s="292">
        <v>4500</v>
      </c>
      <c r="L25" s="292">
        <v>2000</v>
      </c>
      <c r="M25" s="292">
        <v>6000</v>
      </c>
      <c r="N25" s="292"/>
      <c r="O25" s="292"/>
      <c r="P25" s="292"/>
      <c r="Q25" s="292"/>
      <c r="R25" s="281"/>
      <c r="S25" s="281"/>
      <c r="T25" s="281"/>
      <c r="U25" s="236"/>
      <c r="V25" s="236"/>
      <c r="W25" s="236"/>
      <c r="X25" s="236"/>
    </row>
    <row r="26" spans="1:24" s="189" customFormat="1" ht="15.75">
      <c r="A26" s="129" t="s">
        <v>0</v>
      </c>
      <c r="B26" s="73"/>
      <c r="C26" s="25" t="s">
        <v>52</v>
      </c>
      <c r="D26" s="120" t="s">
        <v>6</v>
      </c>
      <c r="E26" s="21"/>
      <c r="F26" s="255"/>
      <c r="G26" s="302">
        <f>IF((AND(D26="Y",D27="N",D29&gt;2)),K26,0)</f>
        <v>5500</v>
      </c>
      <c r="H26" s="292">
        <f>IF((AND(D26="Y",D30="D",D29&gt;2)),L26,0)</f>
        <v>0</v>
      </c>
      <c r="I26" s="292">
        <f>IF((AND(D26="Y",D30="I",D29="3 or above")),M26,0)</f>
        <v>7000</v>
      </c>
      <c r="J26" s="292" t="s">
        <v>24</v>
      </c>
      <c r="K26" s="292">
        <v>5500</v>
      </c>
      <c r="L26" s="292">
        <v>2000</v>
      </c>
      <c r="M26" s="292">
        <v>7000</v>
      </c>
      <c r="N26" s="292"/>
      <c r="O26" s="292"/>
      <c r="P26" s="292"/>
      <c r="Q26" s="292"/>
      <c r="R26" s="281"/>
      <c r="S26" s="281"/>
      <c r="T26" s="281"/>
      <c r="U26" s="236"/>
      <c r="V26" s="236"/>
      <c r="W26" s="236"/>
      <c r="X26" s="236"/>
    </row>
    <row r="27" spans="1:13" ht="12.75">
      <c r="A27" s="18"/>
      <c r="B27" s="70"/>
      <c r="C27" s="359" t="str">
        <f>IF(D26="N","Do not adjust this line","Are you taking a profesional course but at undergraduate level? Only answer Y or N")</f>
        <v>Are you taking a profesional course but at undergraduate level? Only answer Y or N</v>
      </c>
      <c r="D27" s="363" t="s">
        <v>7</v>
      </c>
      <c r="E27" s="21"/>
      <c r="F27" s="255"/>
      <c r="G27" s="302">
        <f>IF((AND(D26="Y",D27="Y",D28="Y")),K27,0)</f>
        <v>0</v>
      </c>
      <c r="H27" s="292">
        <f>IF((AND(D27="Y",D31="D",D30&gt;2)),L27,0)</f>
        <v>0</v>
      </c>
      <c r="I27" s="303">
        <f>IF((AND(D26="Y",D27="Y",D28="Y")),M27,0)</f>
        <v>0</v>
      </c>
      <c r="J27" s="292" t="s">
        <v>14</v>
      </c>
      <c r="K27" s="292">
        <f>K23</f>
        <v>0</v>
      </c>
      <c r="L27" s="292">
        <f>L23</f>
        <v>0</v>
      </c>
      <c r="M27" s="292">
        <f>M23</f>
        <v>20500</v>
      </c>
    </row>
    <row r="28" spans="1:12" ht="12.75">
      <c r="A28" s="18"/>
      <c r="B28" s="70"/>
      <c r="C28" s="209" t="str">
        <f>IF((AND(D26="Y",D27="Y")),"Do you already have another undergraduate degree - answer Y or N","Do not adjust this line")</f>
        <v>Do not adjust this line</v>
      </c>
      <c r="D28" s="363" t="s">
        <v>6</v>
      </c>
      <c r="E28" s="21"/>
      <c r="F28" s="255"/>
      <c r="G28" s="302">
        <f>MAX(G23:G27)</f>
        <v>5500</v>
      </c>
      <c r="H28" s="303"/>
      <c r="I28" s="303">
        <f>MAX(H23:I27)</f>
        <v>7000</v>
      </c>
      <c r="J28" s="286" t="s">
        <v>37</v>
      </c>
      <c r="K28" s="286"/>
      <c r="L28" s="286" t="s">
        <v>193</v>
      </c>
    </row>
    <row r="29" spans="1:11" ht="12.75">
      <c r="A29" s="18"/>
      <c r="B29" s="70"/>
      <c r="C29" s="209" t="str">
        <f>IF(D26="N","Do not adjust this line","What will be your year of study only answer one of 1 2 3")</f>
        <v>What will be your year of study only answer one of 1 2 3</v>
      </c>
      <c r="D29" s="121" t="s">
        <v>339</v>
      </c>
      <c r="E29" s="21"/>
      <c r="F29" s="255"/>
      <c r="G29" s="304"/>
      <c r="K29" s="286"/>
    </row>
    <row r="30" spans="1:12" ht="12.75">
      <c r="A30" s="18"/>
      <c r="B30" s="70"/>
      <c r="C30" s="25" t="s">
        <v>103</v>
      </c>
      <c r="D30" s="120" t="s">
        <v>68</v>
      </c>
      <c r="E30" s="21"/>
      <c r="F30" s="255"/>
      <c r="G30" s="304"/>
      <c r="H30" s="286" t="s">
        <v>171</v>
      </c>
      <c r="L30" s="305" t="s">
        <v>67</v>
      </c>
    </row>
    <row r="31" spans="1:12" ht="12.75">
      <c r="A31" s="18"/>
      <c r="B31" s="70"/>
      <c r="C31" s="25" t="s">
        <v>1</v>
      </c>
      <c r="D31" s="122">
        <v>0</v>
      </c>
      <c r="E31" s="26"/>
      <c r="F31" s="257"/>
      <c r="G31" s="304" t="s">
        <v>43</v>
      </c>
      <c r="H31" s="306" t="s">
        <v>16</v>
      </c>
      <c r="I31" s="306" t="s">
        <v>17</v>
      </c>
      <c r="J31" s="286" t="s">
        <v>15</v>
      </c>
      <c r="K31" s="286"/>
      <c r="L31" s="292" t="s">
        <v>14</v>
      </c>
    </row>
    <row r="32" spans="1:10" ht="12.75">
      <c r="A32" s="18"/>
      <c r="B32" s="70"/>
      <c r="C32" s="362" t="s">
        <v>360</v>
      </c>
      <c r="D32" s="358">
        <v>14500</v>
      </c>
      <c r="E32" s="26"/>
      <c r="F32" s="257"/>
      <c r="G32" s="307">
        <f>D7</f>
        <v>1.25</v>
      </c>
      <c r="H32" s="303">
        <f>D32*G32</f>
        <v>18125</v>
      </c>
      <c r="I32" s="303">
        <f>E32</f>
        <v>0</v>
      </c>
      <c r="J32" s="286" t="s">
        <v>18</v>
      </c>
    </row>
    <row r="33" spans="1:10" ht="12.75">
      <c r="A33" s="18"/>
      <c r="B33" s="70"/>
      <c r="C33" s="361" t="s">
        <v>361</v>
      </c>
      <c r="D33" s="358">
        <v>0</v>
      </c>
      <c r="E33" s="123">
        <v>0</v>
      </c>
      <c r="F33" s="258"/>
      <c r="G33" s="304">
        <f>G32</f>
        <v>1.25</v>
      </c>
      <c r="H33" s="303">
        <f>D33*G33</f>
        <v>0</v>
      </c>
      <c r="I33" s="303">
        <f>E33</f>
        <v>0</v>
      </c>
      <c r="J33" s="292" t="s">
        <v>19</v>
      </c>
    </row>
    <row r="34" spans="1:10" ht="12.75">
      <c r="A34" s="18"/>
      <c r="B34" s="70"/>
      <c r="C34" s="46" t="s">
        <v>337</v>
      </c>
      <c r="D34" s="358">
        <v>0</v>
      </c>
      <c r="E34" s="27"/>
      <c r="F34" s="258"/>
      <c r="G34" s="304">
        <f>G33</f>
        <v>1.25</v>
      </c>
      <c r="H34" s="303">
        <f>D34*G34</f>
        <v>0</v>
      </c>
      <c r="I34" s="303">
        <f>E34</f>
        <v>0</v>
      </c>
      <c r="J34" s="292" t="s">
        <v>20</v>
      </c>
    </row>
    <row r="35" spans="1:10" ht="12.75">
      <c r="A35" s="18"/>
      <c r="B35" s="70"/>
      <c r="C35" s="362" t="s">
        <v>362</v>
      </c>
      <c r="D35" s="358">
        <v>0</v>
      </c>
      <c r="E35" s="27"/>
      <c r="F35" s="258"/>
      <c r="G35" s="304">
        <f>G34</f>
        <v>1.25</v>
      </c>
      <c r="H35" s="303">
        <f>D35*G35</f>
        <v>0</v>
      </c>
      <c r="I35" s="303">
        <f>E35</f>
        <v>0</v>
      </c>
      <c r="J35" s="292" t="s">
        <v>47</v>
      </c>
    </row>
    <row r="36" spans="1:10" ht="13.5" thickBot="1">
      <c r="A36" s="28"/>
      <c r="B36" s="74"/>
      <c r="C36" s="25" t="s">
        <v>333</v>
      </c>
      <c r="D36" s="29"/>
      <c r="E36" s="124">
        <v>0</v>
      </c>
      <c r="F36" s="258"/>
      <c r="G36" s="304">
        <f>G34</f>
        <v>1.25</v>
      </c>
      <c r="H36" s="303">
        <f>D36*G36</f>
        <v>0</v>
      </c>
      <c r="I36" s="303">
        <f>E36</f>
        <v>0</v>
      </c>
      <c r="J36" s="292" t="s">
        <v>48</v>
      </c>
    </row>
    <row r="37" spans="1:24" s="189" customFormat="1" ht="16.5" thickBot="1">
      <c r="A37" s="130"/>
      <c r="B37" s="131"/>
      <c r="C37" s="134" t="s">
        <v>305</v>
      </c>
      <c r="D37" s="132" t="s">
        <v>304</v>
      </c>
      <c r="E37" s="133"/>
      <c r="F37" s="259"/>
      <c r="G37" s="308"/>
      <c r="H37" s="309"/>
      <c r="I37" s="310">
        <f>SUM(H33:I36)</f>
        <v>0</v>
      </c>
      <c r="J37" s="294" t="s">
        <v>46</v>
      </c>
      <c r="K37" s="294"/>
      <c r="L37" s="301"/>
      <c r="M37" s="301"/>
      <c r="N37" s="301"/>
      <c r="O37" s="301"/>
      <c r="P37" s="301"/>
      <c r="Q37" s="301"/>
      <c r="R37" s="281"/>
      <c r="S37" s="281"/>
      <c r="T37" s="281"/>
      <c r="U37" s="236"/>
      <c r="V37" s="236"/>
      <c r="W37" s="236"/>
      <c r="X37" s="236"/>
    </row>
    <row r="38" spans="1:9" ht="14.25" customHeight="1" thickBot="1">
      <c r="A38" s="12"/>
      <c r="B38" s="94"/>
      <c r="C38" s="25"/>
      <c r="D38" s="30"/>
      <c r="E38" s="31"/>
      <c r="F38" s="260"/>
      <c r="G38" s="304"/>
      <c r="I38" s="303"/>
    </row>
    <row r="39" spans="1:8" ht="15.75">
      <c r="A39" s="16">
        <v>2</v>
      </c>
      <c r="B39" s="126" t="s">
        <v>299</v>
      </c>
      <c r="C39" s="97"/>
      <c r="D39" s="32"/>
      <c r="E39" s="33"/>
      <c r="F39" s="261"/>
      <c r="G39" s="304"/>
      <c r="H39" s="286" t="s">
        <v>172</v>
      </c>
    </row>
    <row r="40" spans="1:10" ht="12.75">
      <c r="A40" s="18"/>
      <c r="B40" s="70"/>
      <c r="C40" s="98"/>
      <c r="D40" s="128" t="s">
        <v>300</v>
      </c>
      <c r="E40" s="127" t="s">
        <v>359</v>
      </c>
      <c r="F40" s="257"/>
      <c r="G40" s="304" t="s">
        <v>21</v>
      </c>
      <c r="H40" s="303" t="s">
        <v>35</v>
      </c>
      <c r="I40" s="303" t="s">
        <v>36</v>
      </c>
      <c r="J40" s="292" t="s">
        <v>34</v>
      </c>
    </row>
    <row r="41" spans="1:11" ht="12.75">
      <c r="A41" s="18"/>
      <c r="B41" s="70"/>
      <c r="C41" s="99" t="s">
        <v>2</v>
      </c>
      <c r="D41" s="356">
        <v>165</v>
      </c>
      <c r="E41" s="357">
        <v>165</v>
      </c>
      <c r="F41" s="257"/>
      <c r="G41" s="304">
        <f>D9</f>
        <v>38</v>
      </c>
      <c r="H41" s="303">
        <f>E41*G32*G41</f>
        <v>7837.5</v>
      </c>
      <c r="I41" s="303">
        <f>J41*G32*E41</f>
        <v>10725</v>
      </c>
      <c r="J41" s="311">
        <f>D10</f>
        <v>52</v>
      </c>
      <c r="K41" s="311"/>
    </row>
    <row r="42" spans="1:11" ht="12.75">
      <c r="A42" s="18"/>
      <c r="B42" s="70"/>
      <c r="C42" s="99" t="s">
        <v>9</v>
      </c>
      <c r="D42" s="356">
        <v>100</v>
      </c>
      <c r="E42" s="357">
        <v>100</v>
      </c>
      <c r="F42" s="257"/>
      <c r="G42" s="304">
        <f>D9</f>
        <v>38</v>
      </c>
      <c r="H42" s="303">
        <f>E42*G33*G42</f>
        <v>4750</v>
      </c>
      <c r="I42" s="303">
        <f>J42*G33*E42</f>
        <v>6500</v>
      </c>
      <c r="J42" s="311">
        <f>J41</f>
        <v>52</v>
      </c>
      <c r="K42" s="311"/>
    </row>
    <row r="43" spans="1:11" ht="12.75">
      <c r="A43" s="18"/>
      <c r="B43" s="70"/>
      <c r="C43" s="99" t="s">
        <v>5</v>
      </c>
      <c r="D43" s="356">
        <f>'School DATA'!H14</f>
        <v>30</v>
      </c>
      <c r="E43" s="357">
        <f>'School DATA'!H14</f>
        <v>30</v>
      </c>
      <c r="F43" s="257"/>
      <c r="G43" s="304">
        <f>G42</f>
        <v>38</v>
      </c>
      <c r="H43" s="303">
        <f>E43*G32*G43</f>
        <v>1425</v>
      </c>
      <c r="I43" s="303">
        <f>J43*G34*E43</f>
        <v>1950</v>
      </c>
      <c r="J43" s="311">
        <f>J42</f>
        <v>52</v>
      </c>
      <c r="K43" s="311"/>
    </row>
    <row r="44" spans="1:11" ht="12.75">
      <c r="A44" s="18"/>
      <c r="B44" s="70"/>
      <c r="C44" s="99" t="s">
        <v>280</v>
      </c>
      <c r="D44" s="356">
        <v>25</v>
      </c>
      <c r="E44" s="357">
        <v>25</v>
      </c>
      <c r="F44" s="257"/>
      <c r="G44" s="304">
        <f>G43</f>
        <v>38</v>
      </c>
      <c r="H44" s="303">
        <f>E44*G33*G44</f>
        <v>1187.5</v>
      </c>
      <c r="I44" s="303">
        <f>J44*G35*E44</f>
        <v>1625</v>
      </c>
      <c r="J44" s="311">
        <f>J43</f>
        <v>52</v>
      </c>
      <c r="K44" s="311"/>
    </row>
    <row r="45" spans="1:11" ht="12.75">
      <c r="A45" s="18"/>
      <c r="B45" s="70"/>
      <c r="C45" s="99" t="s">
        <v>3</v>
      </c>
      <c r="D45" s="356">
        <f>'School DATA'!H16</f>
        <v>80</v>
      </c>
      <c r="E45" s="357">
        <f>'School DATA'!H16</f>
        <v>80</v>
      </c>
      <c r="F45" s="257"/>
      <c r="G45" s="304">
        <f>G44</f>
        <v>38</v>
      </c>
      <c r="H45" s="303">
        <f>E45*G34*G45</f>
        <v>3800</v>
      </c>
      <c r="I45" s="303">
        <f>J45*G36*E45</f>
        <v>5200</v>
      </c>
      <c r="J45" s="311">
        <f>J44</f>
        <v>52</v>
      </c>
      <c r="K45" s="311"/>
    </row>
    <row r="46" spans="1:9" ht="13.5" thickBot="1">
      <c r="A46" s="28"/>
      <c r="B46" s="70"/>
      <c r="C46" s="25"/>
      <c r="D46" s="34"/>
      <c r="E46" s="35"/>
      <c r="F46" s="257"/>
      <c r="G46" s="304"/>
      <c r="H46" s="303"/>
      <c r="I46" s="303"/>
    </row>
    <row r="47" spans="1:9" ht="13.5" thickBot="1">
      <c r="A47" s="36"/>
      <c r="B47" s="100"/>
      <c r="C47" s="25"/>
      <c r="D47" s="37"/>
      <c r="E47" s="31"/>
      <c r="F47" s="260"/>
      <c r="H47" s="303"/>
      <c r="I47" s="303"/>
    </row>
    <row r="48" spans="1:11" ht="20.25">
      <c r="A48" s="16">
        <v>3</v>
      </c>
      <c r="B48" s="95" t="s">
        <v>151</v>
      </c>
      <c r="C48" s="96"/>
      <c r="D48" s="33"/>
      <c r="E48" s="33"/>
      <c r="F48" s="261"/>
      <c r="H48" s="286" t="s">
        <v>173</v>
      </c>
      <c r="I48" s="303"/>
      <c r="K48" s="285" t="s">
        <v>88</v>
      </c>
    </row>
    <row r="49" spans="1:11" ht="20.25">
      <c r="A49" s="111"/>
      <c r="B49" s="95"/>
      <c r="C49" s="96"/>
      <c r="D49" s="127" t="s">
        <v>301</v>
      </c>
      <c r="E49" s="127" t="str">
        <f>E40</f>
        <v>Your Request- Euro</v>
      </c>
      <c r="F49" s="261"/>
      <c r="H49" s="286"/>
      <c r="I49" s="303"/>
      <c r="K49" s="285"/>
    </row>
    <row r="50" spans="1:15" ht="12.75">
      <c r="A50" s="18"/>
      <c r="B50" s="70"/>
      <c r="C50" s="162" t="s">
        <v>366</v>
      </c>
      <c r="D50" s="364">
        <v>1800</v>
      </c>
      <c r="E50" s="358">
        <f>D50</f>
        <v>1800</v>
      </c>
      <c r="F50" s="262"/>
      <c r="G50" s="312">
        <f>D7</f>
        <v>1.25</v>
      </c>
      <c r="H50" s="303">
        <f aca="true" t="shared" si="0" ref="H50:H56">E50*G50</f>
        <v>2250</v>
      </c>
      <c r="I50" s="303"/>
      <c r="L50" s="292" t="s">
        <v>90</v>
      </c>
      <c r="M50" s="292" t="s">
        <v>154</v>
      </c>
      <c r="N50" s="292" t="s">
        <v>165</v>
      </c>
      <c r="O50" s="292" t="s">
        <v>156</v>
      </c>
    </row>
    <row r="51" spans="1:15" ht="12.75">
      <c r="A51" s="18"/>
      <c r="B51" s="70"/>
      <c r="C51" s="162" t="s">
        <v>363</v>
      </c>
      <c r="D51" s="364">
        <v>300</v>
      </c>
      <c r="E51" s="358">
        <f aca="true" t="shared" si="1" ref="E51:E56">D51</f>
        <v>300</v>
      </c>
      <c r="G51" s="292">
        <f aca="true" t="shared" si="2" ref="G51:G56">G50</f>
        <v>1.25</v>
      </c>
      <c r="H51" s="303">
        <f t="shared" si="0"/>
        <v>375</v>
      </c>
      <c r="I51" s="303"/>
      <c r="K51" s="292" t="s">
        <v>89</v>
      </c>
      <c r="M51" s="292" t="s">
        <v>155</v>
      </c>
      <c r="N51" s="292" t="s">
        <v>43</v>
      </c>
      <c r="O51" s="292" t="s">
        <v>157</v>
      </c>
    </row>
    <row r="52" spans="1:15" ht="12.75">
      <c r="A52" s="18"/>
      <c r="B52" s="70"/>
      <c r="C52" s="162" t="s">
        <v>284</v>
      </c>
      <c r="D52" s="364">
        <v>1000</v>
      </c>
      <c r="E52" s="358">
        <v>1300</v>
      </c>
      <c r="F52" s="257"/>
      <c r="G52" s="292">
        <f t="shared" si="2"/>
        <v>1.25</v>
      </c>
      <c r="H52" s="303">
        <f t="shared" si="0"/>
        <v>1625</v>
      </c>
      <c r="I52" s="303"/>
      <c r="K52" s="292" t="s">
        <v>181</v>
      </c>
      <c r="L52" s="313">
        <f>'School DATA'!D38</f>
        <v>1.072</v>
      </c>
      <c r="M52" s="313">
        <f>'School DATA'!E38</f>
        <v>0</v>
      </c>
      <c r="N52" s="313">
        <f>L52-M52</f>
        <v>1.072</v>
      </c>
      <c r="O52" s="314">
        <f>N52*0.01</f>
        <v>0.01072</v>
      </c>
    </row>
    <row r="53" spans="1:15" ht="12.75">
      <c r="A53" s="18"/>
      <c r="B53" s="70"/>
      <c r="C53" s="162" t="s">
        <v>364</v>
      </c>
      <c r="D53" s="364">
        <v>950</v>
      </c>
      <c r="E53" s="358">
        <f t="shared" si="1"/>
        <v>950</v>
      </c>
      <c r="F53" s="257"/>
      <c r="G53" s="292">
        <f t="shared" si="2"/>
        <v>1.25</v>
      </c>
      <c r="H53" s="303">
        <f t="shared" si="0"/>
        <v>1187.5</v>
      </c>
      <c r="I53" s="303"/>
      <c r="K53" s="292" t="s">
        <v>182</v>
      </c>
      <c r="L53" s="313">
        <f>'School DATA'!D39</f>
        <v>1.072</v>
      </c>
      <c r="M53" s="313">
        <f>'School DATA'!E39</f>
        <v>0</v>
      </c>
      <c r="N53" s="313">
        <f>L53-M53</f>
        <v>1.072</v>
      </c>
      <c r="O53" s="314">
        <f>N53*0.01</f>
        <v>0.01072</v>
      </c>
    </row>
    <row r="54" spans="1:15" ht="12.75">
      <c r="A54" s="18"/>
      <c r="B54" s="70"/>
      <c r="C54" s="161" t="s">
        <v>365</v>
      </c>
      <c r="D54" s="364">
        <f>'School DATA'!H23</f>
        <v>0</v>
      </c>
      <c r="E54" s="358">
        <f t="shared" si="1"/>
        <v>0</v>
      </c>
      <c r="F54" s="257"/>
      <c r="G54" s="292">
        <f t="shared" si="2"/>
        <v>1.25</v>
      </c>
      <c r="H54" s="303">
        <f t="shared" si="0"/>
        <v>0</v>
      </c>
      <c r="I54" s="303"/>
      <c r="K54" s="292" t="s">
        <v>183</v>
      </c>
      <c r="L54" s="313">
        <f>'School DATA'!D40</f>
        <v>4.288</v>
      </c>
      <c r="M54" s="313">
        <f>'School DATA'!E40</f>
        <v>0</v>
      </c>
      <c r="N54" s="313">
        <f>L54-M54</f>
        <v>4.288</v>
      </c>
      <c r="O54" s="314">
        <f>N54*0.01</f>
        <v>0.04288</v>
      </c>
    </row>
    <row r="55" spans="1:9" ht="12.75">
      <c r="A55" s="18"/>
      <c r="B55" s="70"/>
      <c r="C55" s="161" t="s">
        <v>365</v>
      </c>
      <c r="D55" s="364">
        <f>'School DATA'!H24</f>
        <v>0</v>
      </c>
      <c r="E55" s="358">
        <f t="shared" si="1"/>
        <v>0</v>
      </c>
      <c r="F55" s="257"/>
      <c r="G55" s="292">
        <f t="shared" si="2"/>
        <v>1.25</v>
      </c>
      <c r="H55" s="303">
        <f t="shared" si="0"/>
        <v>0</v>
      </c>
      <c r="I55" s="303"/>
    </row>
    <row r="56" spans="1:8" ht="13.5" thickBot="1">
      <c r="A56" s="28"/>
      <c r="B56" s="70"/>
      <c r="C56" s="161" t="s">
        <v>365</v>
      </c>
      <c r="D56" s="364">
        <f>'School DATA'!H25</f>
        <v>0</v>
      </c>
      <c r="E56" s="358">
        <f t="shared" si="1"/>
        <v>0</v>
      </c>
      <c r="F56" s="257"/>
      <c r="G56" s="292">
        <f t="shared" si="2"/>
        <v>1.25</v>
      </c>
      <c r="H56" s="303">
        <f t="shared" si="0"/>
        <v>0</v>
      </c>
    </row>
    <row r="57" spans="1:6" ht="12.75">
      <c r="A57" s="12"/>
      <c r="B57" s="12"/>
      <c r="C57" s="13"/>
      <c r="D57" s="38"/>
      <c r="E57" s="31"/>
      <c r="F57" s="260"/>
    </row>
    <row r="58" spans="1:14" ht="20.25">
      <c r="A58" s="39">
        <v>4</v>
      </c>
      <c r="B58" s="39"/>
      <c r="C58" s="40" t="s">
        <v>302</v>
      </c>
      <c r="D58" s="41"/>
      <c r="E58" s="42"/>
      <c r="F58" s="263"/>
      <c r="G58" s="315"/>
      <c r="H58" s="286" t="s">
        <v>174</v>
      </c>
      <c r="J58" s="285"/>
      <c r="K58" s="305" t="s">
        <v>56</v>
      </c>
      <c r="L58" s="305" t="s">
        <v>57</v>
      </c>
      <c r="M58" s="286" t="s">
        <v>185</v>
      </c>
      <c r="N58" s="286" t="s">
        <v>180</v>
      </c>
    </row>
    <row r="59" spans="1:12" ht="20.25">
      <c r="A59" s="1"/>
      <c r="B59" s="1"/>
      <c r="C59" s="63" t="str">
        <f>G59</f>
        <v>Requested Cost of Attendance (Values rounded)</v>
      </c>
      <c r="D59" s="86" t="str">
        <f>H59</f>
        <v>$</v>
      </c>
      <c r="E59" s="43"/>
      <c r="F59" s="264"/>
      <c r="G59" s="316" t="s">
        <v>178</v>
      </c>
      <c r="H59" s="317" t="s">
        <v>28</v>
      </c>
      <c r="J59" s="292" t="s">
        <v>50</v>
      </c>
      <c r="K59" s="318">
        <f>H69</f>
        <v>42564</v>
      </c>
      <c r="L59" s="318"/>
    </row>
    <row r="60" spans="1:24" s="187" customFormat="1" ht="20.25">
      <c r="A60" s="12"/>
      <c r="B60" s="12"/>
      <c r="C60" s="84" t="str">
        <f>G60</f>
        <v>Tuition Fees</v>
      </c>
      <c r="D60" s="87">
        <f>H60</f>
        <v>18125</v>
      </c>
      <c r="E60" s="53"/>
      <c r="F60" s="265"/>
      <c r="G60" s="319" t="s">
        <v>29</v>
      </c>
      <c r="H60" s="320">
        <f>ROUND(H32,0)</f>
        <v>18125</v>
      </c>
      <c r="I60" s="321"/>
      <c r="J60" s="292" t="s">
        <v>51</v>
      </c>
      <c r="K60" s="318">
        <f>-D31</f>
        <v>0</v>
      </c>
      <c r="L60" s="318"/>
      <c r="M60" s="285"/>
      <c r="N60" s="292"/>
      <c r="O60" s="285"/>
      <c r="P60" s="285"/>
      <c r="Q60" s="285"/>
      <c r="T60" s="280"/>
      <c r="U60" s="233"/>
      <c r="V60" s="233"/>
      <c r="W60" s="233"/>
      <c r="X60" s="233"/>
    </row>
    <row r="61" spans="1:14" ht="15">
      <c r="A61" s="12"/>
      <c r="B61" s="12"/>
      <c r="C61" s="84" t="str">
        <f aca="true" t="shared" si="3" ref="C61:C78">G61</f>
        <v>Room</v>
      </c>
      <c r="D61" s="87">
        <f aca="true" t="shared" si="4" ref="D61:D69">H61</f>
        <v>7838</v>
      </c>
      <c r="E61" s="53"/>
      <c r="F61" s="265"/>
      <c r="G61" s="319" t="s">
        <v>30</v>
      </c>
      <c r="H61" s="320">
        <f>ROUND((IF(D26="N",I41,H41)),0)</f>
        <v>7838</v>
      </c>
      <c r="I61" s="321"/>
      <c r="J61" s="292" t="s">
        <v>55</v>
      </c>
      <c r="K61" s="318">
        <f>IF((SUM(K59:K60)&gt;0),(SUM(K59:K60)),0)</f>
        <v>42564</v>
      </c>
      <c r="L61" s="318"/>
      <c r="N61" s="318">
        <f>IF((K61&lt;K63),(K63-K61),0)</f>
        <v>0</v>
      </c>
    </row>
    <row r="62" spans="1:12" ht="15">
      <c r="A62" s="12"/>
      <c r="B62" s="12"/>
      <c r="C62" s="84" t="str">
        <f t="shared" si="3"/>
        <v>Board</v>
      </c>
      <c r="D62" s="87">
        <f t="shared" si="4"/>
        <v>4750</v>
      </c>
      <c r="E62" s="53"/>
      <c r="F62" s="265"/>
      <c r="G62" s="319" t="s">
        <v>31</v>
      </c>
      <c r="H62" s="320">
        <f>ROUND((IF(D26="N",I42,H42)),0)</f>
        <v>4750</v>
      </c>
      <c r="I62" s="321"/>
      <c r="J62" s="292" t="s">
        <v>179</v>
      </c>
      <c r="K62" s="318">
        <f>G28</f>
        <v>5500</v>
      </c>
      <c r="L62" s="318"/>
    </row>
    <row r="63" spans="1:16" ht="15">
      <c r="A63" s="12"/>
      <c r="B63" s="12"/>
      <c r="C63" s="84" t="str">
        <f t="shared" si="3"/>
        <v>Books</v>
      </c>
      <c r="D63" s="87">
        <f t="shared" si="4"/>
        <v>1425</v>
      </c>
      <c r="E63" s="53"/>
      <c r="F63" s="265"/>
      <c r="G63" s="319" t="s">
        <v>32</v>
      </c>
      <c r="H63" s="320">
        <f>ROUND((IF(D26="N",I43,H43)),0)</f>
        <v>1425</v>
      </c>
      <c r="I63" s="321"/>
      <c r="J63" s="286" t="s">
        <v>53</v>
      </c>
      <c r="K63" s="322">
        <f>IF((((K61/(100-N52))*100)&lt;K62),((K61/(100-N52))*100),K62)</f>
        <v>5500</v>
      </c>
      <c r="L63" s="318"/>
      <c r="M63" s="292">
        <f>IF((N61&gt;0),0,(K63*O52))</f>
        <v>58.96</v>
      </c>
      <c r="P63" s="318"/>
    </row>
    <row r="64" spans="1:12" ht="15">
      <c r="A64" s="12"/>
      <c r="B64" s="12"/>
      <c r="C64" s="84" t="str">
        <f t="shared" si="3"/>
        <v>Travel</v>
      </c>
      <c r="D64" s="87">
        <f t="shared" si="4"/>
        <v>1188</v>
      </c>
      <c r="E64" s="53"/>
      <c r="F64" s="265"/>
      <c r="G64" s="319" t="s">
        <v>33</v>
      </c>
      <c r="H64" s="320">
        <f>ROUND((IF(D26="N",I44,H44)),0)</f>
        <v>1188</v>
      </c>
      <c r="I64" s="321"/>
      <c r="K64" s="318"/>
      <c r="L64" s="318"/>
    </row>
    <row r="65" spans="1:14" ht="15">
      <c r="A65" s="12"/>
      <c r="B65" s="12"/>
      <c r="C65" s="84" t="str">
        <f t="shared" si="3"/>
        <v>Personal</v>
      </c>
      <c r="D65" s="87">
        <f t="shared" si="4"/>
        <v>3800</v>
      </c>
      <c r="E65" s="53"/>
      <c r="F65" s="265"/>
      <c r="G65" s="319" t="s">
        <v>3</v>
      </c>
      <c r="H65" s="320">
        <f>ROUND((IF(D26="N",I45,H45)),0)</f>
        <v>3800</v>
      </c>
      <c r="I65" s="321"/>
      <c r="J65" s="292" t="s">
        <v>59</v>
      </c>
      <c r="K65" s="318"/>
      <c r="L65" s="318">
        <f>IF((N61&gt;0),(K59+N61-K63),(K59-K63+M63))</f>
        <v>37122.96</v>
      </c>
      <c r="N65" s="318">
        <f>IF((((L67-L65)&gt;0)),(L67-L65),0)</f>
        <v>0</v>
      </c>
    </row>
    <row r="66" spans="1:12" ht="15.75" thickBot="1">
      <c r="A66" s="12"/>
      <c r="B66" s="12"/>
      <c r="C66" s="88" t="str">
        <f t="shared" si="3"/>
        <v>Other Essential Costs</v>
      </c>
      <c r="D66" s="89">
        <f t="shared" si="4"/>
        <v>5437.5</v>
      </c>
      <c r="E66" s="53"/>
      <c r="F66" s="265"/>
      <c r="G66" s="319" t="s">
        <v>40</v>
      </c>
      <c r="H66" s="323">
        <f>SUM(H50:H56)</f>
        <v>5437.5</v>
      </c>
      <c r="I66" s="321"/>
      <c r="J66" s="292" t="s">
        <v>58</v>
      </c>
      <c r="K66" s="318"/>
      <c r="L66" s="318">
        <f>G28+I28-K63</f>
        <v>7000</v>
      </c>
    </row>
    <row r="67" spans="1:19" ht="15.75">
      <c r="A67" s="5"/>
      <c r="B67" s="5"/>
      <c r="C67" s="92" t="str">
        <f t="shared" si="3"/>
        <v>Total Cost of Attendance</v>
      </c>
      <c r="D67" s="93">
        <f t="shared" si="4"/>
        <v>42563.5</v>
      </c>
      <c r="E67" s="54"/>
      <c r="F67" s="266"/>
      <c r="G67" s="324" t="s">
        <v>39</v>
      </c>
      <c r="H67" s="325">
        <f>SUM(H60:H66)</f>
        <v>42563.5</v>
      </c>
      <c r="I67" s="326"/>
      <c r="J67" s="286" t="s">
        <v>54</v>
      </c>
      <c r="K67" s="322"/>
      <c r="L67" s="322">
        <f>IF((((L65/(100-N53))*100)&lt;L66),((L65/(100-N53))*100),L66)</f>
        <v>7000</v>
      </c>
      <c r="M67" s="292">
        <f>+IF((N65&gt;0),0,(L67*O53))</f>
        <v>75.04</v>
      </c>
      <c r="Q67" s="286"/>
      <c r="R67" s="114"/>
      <c r="S67" s="114"/>
    </row>
    <row r="68" spans="1:12" ht="15">
      <c r="A68" s="12"/>
      <c r="B68" s="12"/>
      <c r="C68" s="84" t="str">
        <f t="shared" si="3"/>
        <v>Adjust for Sponsorship, Awards or other Aid</v>
      </c>
      <c r="D68" s="87">
        <f t="shared" si="4"/>
        <v>0</v>
      </c>
      <c r="E68" s="53"/>
      <c r="F68" s="265"/>
      <c r="G68" s="319" t="s">
        <v>62</v>
      </c>
      <c r="H68" s="320">
        <f>ROUND((-I37),0)</f>
        <v>0</v>
      </c>
      <c r="I68" s="321"/>
      <c r="K68" s="318"/>
      <c r="L68" s="318"/>
    </row>
    <row r="69" spans="1:24" s="114" customFormat="1" ht="16.5" thickBot="1">
      <c r="A69" s="241">
        <f>IF((D37="Private Loan"),"Private loan requested","")</f>
      </c>
      <c r="B69" s="12"/>
      <c r="C69" s="90" t="str">
        <f>G69</f>
        <v>Total Requested Cost of Attendance</v>
      </c>
      <c r="D69" s="91">
        <f t="shared" si="4"/>
        <v>42564</v>
      </c>
      <c r="E69" s="53"/>
      <c r="F69" s="265"/>
      <c r="G69" s="327" t="s">
        <v>82</v>
      </c>
      <c r="H69" s="328">
        <f>ROUND((SUM(H67:H68)),0)</f>
        <v>42564</v>
      </c>
      <c r="I69" s="321"/>
      <c r="J69" s="286" t="s">
        <v>175</v>
      </c>
      <c r="K69" s="318"/>
      <c r="L69" s="318"/>
      <c r="M69" s="286"/>
      <c r="N69" s="305"/>
      <c r="O69" s="286"/>
      <c r="P69" s="286"/>
      <c r="Q69" s="292"/>
      <c r="R69" s="280"/>
      <c r="S69" s="280"/>
      <c r="U69" s="234"/>
      <c r="V69" s="234"/>
      <c r="W69" s="234"/>
      <c r="X69" s="234"/>
    </row>
    <row r="70" spans="1:15" ht="18.75" thickTop="1">
      <c r="A70" s="12"/>
      <c r="B70" s="12"/>
      <c r="C70" s="242">
        <f>IF((D37="Private Loan"),"PRIVATE LOANS - WORKSHEET STOPS HERE","")</f>
      </c>
      <c r="D70" s="87"/>
      <c r="E70" s="53"/>
      <c r="F70" s="265"/>
      <c r="G70" s="321"/>
      <c r="H70" s="329"/>
      <c r="I70" s="321"/>
      <c r="J70" s="292" t="s">
        <v>176</v>
      </c>
      <c r="K70" s="318">
        <f>IF((N65=0),(K59-K63-L67+M63+M67),0)</f>
        <v>30198</v>
      </c>
      <c r="L70" s="318"/>
      <c r="M70" s="330"/>
      <c r="N70" s="330"/>
      <c r="O70" s="286"/>
    </row>
    <row r="71" spans="1:15" ht="18">
      <c r="A71" s="12"/>
      <c r="B71" s="12"/>
      <c r="C71" s="242" t="str">
        <f>C81</f>
        <v>  </v>
      </c>
      <c r="D71" s="87"/>
      <c r="E71" s="53"/>
      <c r="F71" s="265"/>
      <c r="G71" s="321"/>
      <c r="H71" s="329"/>
      <c r="I71" s="321"/>
      <c r="K71" s="318"/>
      <c r="L71" s="318"/>
      <c r="M71" s="330"/>
      <c r="N71" s="330"/>
      <c r="O71" s="286"/>
    </row>
    <row r="72" spans="1:15" ht="18">
      <c r="A72" s="12"/>
      <c r="B72" s="12"/>
      <c r="C72" s="242"/>
      <c r="D72" s="87"/>
      <c r="E72" s="53"/>
      <c r="F72" s="265"/>
      <c r="G72" s="321"/>
      <c r="H72" s="329"/>
      <c r="I72" s="321"/>
      <c r="K72" s="318"/>
      <c r="L72" s="318"/>
      <c r="M72" s="330"/>
      <c r="N72" s="330"/>
      <c r="O72" s="286"/>
    </row>
    <row r="73" spans="1:12" ht="20.25">
      <c r="A73" s="12"/>
      <c r="B73" s="12"/>
      <c r="C73" s="64" t="str">
        <f t="shared" si="3"/>
        <v>Maximum Govt. Loan you can borrow</v>
      </c>
      <c r="D73" s="87"/>
      <c r="E73" s="53"/>
      <c r="F73" s="265"/>
      <c r="G73" s="331" t="s">
        <v>338</v>
      </c>
      <c r="H73" s="332" t="s">
        <v>28</v>
      </c>
      <c r="I73" s="321"/>
      <c r="J73" s="292" t="s">
        <v>177</v>
      </c>
      <c r="K73" s="318">
        <f>H5-K63-L67</f>
        <v>90134</v>
      </c>
      <c r="L73" s="318"/>
    </row>
    <row r="74" spans="1:14" ht="15">
      <c r="A74" s="12"/>
      <c r="B74" s="12"/>
      <c r="C74" s="84" t="str">
        <f>IF((D26="N"),L28,G74)</f>
        <v>Subsidised - Adjusted by EFC</v>
      </c>
      <c r="D74" s="87">
        <f>H74</f>
        <v>5500</v>
      </c>
      <c r="E74" s="53">
        <f>IF((N61&gt;0),"Grossed up for fees","")</f>
      </c>
      <c r="F74" s="265"/>
      <c r="G74" s="319" t="s">
        <v>61</v>
      </c>
      <c r="H74" s="329">
        <f>K63</f>
        <v>5500</v>
      </c>
      <c r="I74" s="321"/>
      <c r="J74" s="286" t="s">
        <v>60</v>
      </c>
      <c r="K74" s="322">
        <f>IF((((K70/(100-N54)*100))&lt;K73),((K70/(100-N54)*100)),(((K73+M63+M67)/(100-N54))*100))</f>
        <v>31550.902708124373</v>
      </c>
      <c r="L74" s="318"/>
      <c r="M74" s="333"/>
      <c r="N74" s="333"/>
    </row>
    <row r="75" spans="1:16" ht="15">
      <c r="A75" s="12"/>
      <c r="B75" s="12"/>
      <c r="C75" s="84" t="str">
        <f t="shared" si="3"/>
        <v>Unsubsudised</v>
      </c>
      <c r="D75" s="87">
        <f>H75</f>
        <v>7000</v>
      </c>
      <c r="E75" s="53">
        <f>IF((N65&gt;0),"Grossed up for fees","")</f>
      </c>
      <c r="F75" s="265"/>
      <c r="G75" s="319" t="s">
        <v>38</v>
      </c>
      <c r="H75" s="329">
        <f>L67</f>
        <v>7000</v>
      </c>
      <c r="I75" s="321"/>
      <c r="L75" s="318"/>
      <c r="M75" s="334"/>
      <c r="N75" s="335"/>
      <c r="P75" s="318"/>
    </row>
    <row r="76" spans="1:16" ht="15">
      <c r="A76" s="12"/>
      <c r="B76" s="12"/>
      <c r="C76" s="84" t="str">
        <f t="shared" si="3"/>
        <v>Independent Undergraduates do not qualify for a PLUS Loan</v>
      </c>
      <c r="D76" s="87"/>
      <c r="E76" s="87">
        <f>I76</f>
      </c>
      <c r="F76" s="265"/>
      <c r="G76" s="319" t="str">
        <f>IF((J77=2),K77,(IF((H69&gt;H5),"PLUS Loan to fulfil this CoA","")))</f>
        <v>Independent Undergraduates do not qualify for a PLUS Loan</v>
      </c>
      <c r="I76" s="292">
        <f>IF((K73&lt;K70),K70,"")</f>
      </c>
      <c r="J76" s="286" t="s">
        <v>344</v>
      </c>
      <c r="M76" s="334"/>
      <c r="N76" s="335"/>
      <c r="P76" s="318"/>
    </row>
    <row r="77" spans="3:14" ht="12.75">
      <c r="C77" s="84">
        <f t="shared" si="3"/>
      </c>
      <c r="D77" s="87">
        <f>H77</f>
      </c>
      <c r="G77" s="319">
        <f>IF((J77=2),"","Maximum PLUS Loan allowed for this CoA")</f>
      </c>
      <c r="H77" s="336">
        <f>IF((J77=2),"",(IF((K70&lt;K73),(K70-M67-M63),K73)))</f>
      </c>
      <c r="I77" s="321"/>
      <c r="J77" s="292">
        <f>(IF((D26="Y"),1,0))+(IF((D30="I"),1,0))</f>
        <v>2</v>
      </c>
      <c r="K77" s="292" t="s">
        <v>345</v>
      </c>
      <c r="M77" s="334"/>
      <c r="N77" s="333"/>
    </row>
    <row r="78" spans="1:14" ht="16.5" thickBot="1">
      <c r="A78" s="12"/>
      <c r="B78" s="12"/>
      <c r="C78" s="90" t="str">
        <f t="shared" si="3"/>
        <v>Total Eligible before adjustment for Fees</v>
      </c>
      <c r="D78" s="91">
        <f>H78</f>
        <v>12500</v>
      </c>
      <c r="E78" s="53"/>
      <c r="F78" s="265"/>
      <c r="G78" s="327" t="s">
        <v>169</v>
      </c>
      <c r="H78" s="337">
        <f>SUM(H74:H77)</f>
        <v>12500</v>
      </c>
      <c r="I78" s="321"/>
      <c r="M78" s="334"/>
      <c r="N78" s="335"/>
    </row>
    <row r="79" spans="1:14" ht="17.25" thickBot="1" thickTop="1">
      <c r="A79" s="12"/>
      <c r="B79" s="12"/>
      <c r="D79" s="53"/>
      <c r="E79" s="53"/>
      <c r="F79" s="265"/>
      <c r="G79" s="338"/>
      <c r="H79" s="339"/>
      <c r="M79" s="334"/>
      <c r="N79" s="335"/>
    </row>
    <row r="80" spans="1:17" ht="18">
      <c r="A80" s="16">
        <v>5</v>
      </c>
      <c r="B80" s="69"/>
      <c r="C80" s="45" t="s">
        <v>162</v>
      </c>
      <c r="D80" s="55"/>
      <c r="E80" s="56"/>
      <c r="F80" s="267"/>
      <c r="G80" s="340"/>
      <c r="J80" s="338"/>
      <c r="K80" s="338"/>
      <c r="L80" s="338"/>
      <c r="M80" s="338"/>
      <c r="N80" s="338"/>
      <c r="O80" s="338"/>
      <c r="P80" s="338"/>
      <c r="Q80" s="338"/>
    </row>
    <row r="81" spans="1:24" s="190" customFormat="1" ht="18">
      <c r="A81" s="49"/>
      <c r="B81" s="75"/>
      <c r="C81" s="50" t="str">
        <f>IF(H67&gt;H5,I81,"  ")</f>
        <v>  </v>
      </c>
      <c r="D81" s="57"/>
      <c r="E81" s="58"/>
      <c r="F81" s="268"/>
      <c r="G81" s="340"/>
      <c r="H81" s="338" t="s">
        <v>65</v>
      </c>
      <c r="I81" s="341" t="s">
        <v>80</v>
      </c>
      <c r="J81" s="340"/>
      <c r="K81" s="340"/>
      <c r="L81" s="340"/>
      <c r="M81" s="340"/>
      <c r="N81" s="340"/>
      <c r="O81" s="340"/>
      <c r="P81" s="340"/>
      <c r="Q81" s="340"/>
      <c r="U81" s="237"/>
      <c r="V81" s="237"/>
      <c r="W81" s="237"/>
      <c r="X81" s="237"/>
    </row>
    <row r="82" spans="1:24" s="191" customFormat="1" ht="18.75" thickBot="1">
      <c r="A82" s="51"/>
      <c r="B82" s="76"/>
      <c r="C82" s="52" t="str">
        <f>IF(H67&gt;H5,I82,I83)</f>
        <v>You are allowed to borrow up to the values above</v>
      </c>
      <c r="D82" s="59"/>
      <c r="E82" s="60"/>
      <c r="F82" s="268"/>
      <c r="G82" s="340"/>
      <c r="H82" s="338" t="s">
        <v>66</v>
      </c>
      <c r="I82" s="341" t="s">
        <v>101</v>
      </c>
      <c r="J82" s="340"/>
      <c r="K82" s="340"/>
      <c r="L82" s="340"/>
      <c r="M82" s="340"/>
      <c r="N82" s="340"/>
      <c r="O82" s="340"/>
      <c r="P82" s="340"/>
      <c r="Q82" s="340"/>
      <c r="U82" s="238"/>
      <c r="V82" s="238"/>
      <c r="W82" s="238"/>
      <c r="X82" s="238"/>
    </row>
    <row r="83" spans="1:24" s="212" customFormat="1" ht="18.75" thickBot="1">
      <c r="A83" s="210"/>
      <c r="B83" s="210"/>
      <c r="C83" s="101"/>
      <c r="D83" s="211"/>
      <c r="E83" s="211"/>
      <c r="F83" s="269"/>
      <c r="G83" s="342"/>
      <c r="H83" s="343" t="s">
        <v>64</v>
      </c>
      <c r="I83" s="344" t="s">
        <v>83</v>
      </c>
      <c r="J83" s="345"/>
      <c r="K83" s="345"/>
      <c r="L83" s="345"/>
      <c r="M83" s="345"/>
      <c r="N83" s="345"/>
      <c r="O83" s="345"/>
      <c r="P83" s="345"/>
      <c r="Q83" s="345"/>
      <c r="U83" s="240"/>
      <c r="V83" s="240"/>
      <c r="W83" s="240"/>
      <c r="X83" s="240"/>
    </row>
    <row r="84" spans="1:24" s="212" customFormat="1" ht="18">
      <c r="A84" s="213">
        <v>6</v>
      </c>
      <c r="B84" s="214" t="s">
        <v>152</v>
      </c>
      <c r="C84" s="215"/>
      <c r="D84" s="215"/>
      <c r="E84" s="216"/>
      <c r="F84" s="270"/>
      <c r="G84" s="342"/>
      <c r="H84" s="345"/>
      <c r="I84" s="345"/>
      <c r="J84" s="342"/>
      <c r="K84" s="342"/>
      <c r="L84" s="342"/>
      <c r="M84" s="342"/>
      <c r="N84" s="342"/>
      <c r="O84" s="342"/>
      <c r="P84" s="342"/>
      <c r="Q84" s="342"/>
      <c r="U84" s="240"/>
      <c r="V84" s="240"/>
      <c r="W84" s="240"/>
      <c r="X84" s="240"/>
    </row>
    <row r="85" spans="1:24" s="101" customFormat="1" ht="52.5" customHeight="1">
      <c r="A85" s="217" t="s">
        <v>131</v>
      </c>
      <c r="B85" s="217" t="s">
        <v>160</v>
      </c>
      <c r="C85" s="218" t="s">
        <v>189</v>
      </c>
      <c r="D85" s="278" t="s">
        <v>354</v>
      </c>
      <c r="E85" s="219" t="s">
        <v>102</v>
      </c>
      <c r="F85" s="271"/>
      <c r="G85" s="346" t="s">
        <v>131</v>
      </c>
      <c r="H85" s="347" t="s">
        <v>102</v>
      </c>
      <c r="I85" s="342"/>
      <c r="J85" s="342"/>
      <c r="K85" s="342"/>
      <c r="L85" s="345"/>
      <c r="M85" s="345"/>
      <c r="N85" s="345"/>
      <c r="O85" s="342"/>
      <c r="P85" s="342"/>
      <c r="Q85" s="342"/>
      <c r="R85" s="282"/>
      <c r="S85" s="282"/>
      <c r="T85" s="282"/>
      <c r="U85" s="239"/>
      <c r="V85" s="239"/>
      <c r="W85" s="239"/>
      <c r="X85" s="239"/>
    </row>
    <row r="86" spans="1:24" s="101" customFormat="1" ht="15">
      <c r="A86" s="220">
        <f>G86</f>
        <v>5500</v>
      </c>
      <c r="B86" s="221">
        <f>O52</f>
        <v>0.01072</v>
      </c>
      <c r="C86" s="222" t="str">
        <f>C74</f>
        <v>Subsidised - Adjusted by EFC</v>
      </c>
      <c r="D86" s="125">
        <f>A86</f>
        <v>5500</v>
      </c>
      <c r="E86" s="223">
        <f>ROUND(((D86*(1-O52))),0)</f>
        <v>5441</v>
      </c>
      <c r="F86" s="272">
        <f>IF((D86&gt;A86),("You cannot borrow more than  "&amp;A86),"")</f>
      </c>
      <c r="G86" s="348">
        <f>ROUND(K63,0)</f>
        <v>5500</v>
      </c>
      <c r="H86" s="349">
        <f>ROUND(((G86*(1-O52))),0)</f>
        <v>5441</v>
      </c>
      <c r="I86" s="342"/>
      <c r="J86" s="342"/>
      <c r="K86" s="342"/>
      <c r="L86" s="342"/>
      <c r="M86" s="342"/>
      <c r="N86" s="342"/>
      <c r="O86" s="342"/>
      <c r="P86" s="342"/>
      <c r="Q86" s="342"/>
      <c r="R86" s="282"/>
      <c r="S86" s="282"/>
      <c r="T86" s="282"/>
      <c r="U86" s="239"/>
      <c r="V86" s="239"/>
      <c r="W86" s="239"/>
      <c r="X86" s="239"/>
    </row>
    <row r="87" spans="1:24" s="101" customFormat="1" ht="15">
      <c r="A87" s="220">
        <f>G87</f>
        <v>7000</v>
      </c>
      <c r="B87" s="221">
        <f>O53</f>
        <v>0.01072</v>
      </c>
      <c r="C87" s="222" t="s">
        <v>38</v>
      </c>
      <c r="D87" s="125">
        <f>A87</f>
        <v>7000</v>
      </c>
      <c r="E87" s="223">
        <f>ROUND(((D87*(1-O53))),0)</f>
        <v>6925</v>
      </c>
      <c r="F87" s="272">
        <f>IF((D87&gt;A87),("You cannot borrow more than  "&amp;A87),"")</f>
      </c>
      <c r="G87" s="348">
        <f>ROUND(L67,0)</f>
        <v>7000</v>
      </c>
      <c r="H87" s="349">
        <f>ROUND(((G87*(1-O53))),0)</f>
        <v>6925</v>
      </c>
      <c r="I87" s="342"/>
      <c r="J87" s="342"/>
      <c r="K87" s="342"/>
      <c r="L87" s="342"/>
      <c r="M87" s="342"/>
      <c r="N87" s="342"/>
      <c r="O87" s="342"/>
      <c r="P87" s="342"/>
      <c r="Q87" s="342"/>
      <c r="R87" s="282"/>
      <c r="S87" s="282"/>
      <c r="T87" s="282"/>
      <c r="U87" s="239"/>
      <c r="V87" s="239"/>
      <c r="W87" s="239"/>
      <c r="X87" s="239"/>
    </row>
    <row r="88" spans="1:24" s="101" customFormat="1" ht="15">
      <c r="A88" s="220">
        <f>G88</f>
      </c>
      <c r="B88" s="221">
        <f>O54</f>
        <v>0.04288</v>
      </c>
      <c r="C88" s="222" t="str">
        <f>IF((J77=2),K77,"PLUS Loan (Adjusted up to include all fees)")</f>
        <v>Independent Undergraduates do not qualify for a PLUS Loan</v>
      </c>
      <c r="D88" s="125">
        <f>IF((A88=""),0,((ROUND(A88,0))))</f>
        <v>0</v>
      </c>
      <c r="E88" s="223">
        <f>ROUND(((D88*(1-O54))),0)</f>
        <v>0</v>
      </c>
      <c r="F88" s="272">
        <f>IF((D88&gt;A88),("You cannot borrow more than  "&amp;ROUND(A88,2)),"")</f>
      </c>
      <c r="G88" s="348">
        <f>IF((J77=2),"",(ROUND(K74,0)))</f>
      </c>
      <c r="H88" s="349" t="e">
        <f>ROUND(((G88*(1-O54))),0)</f>
        <v>#VALUE!</v>
      </c>
      <c r="I88" s="342"/>
      <c r="J88" s="342"/>
      <c r="K88" s="342"/>
      <c r="L88" s="342"/>
      <c r="M88" s="342"/>
      <c r="N88" s="342"/>
      <c r="O88" s="342"/>
      <c r="P88" s="342"/>
      <c r="Q88" s="342"/>
      <c r="R88" s="283"/>
      <c r="S88" s="282"/>
      <c r="T88" s="282"/>
      <c r="U88" s="239"/>
      <c r="V88" s="239"/>
      <c r="W88" s="239"/>
      <c r="X88" s="239"/>
    </row>
    <row r="89" spans="1:24" s="101" customFormat="1" ht="16.5" thickBot="1">
      <c r="A89" s="220">
        <f>G89</f>
        <v>12500</v>
      </c>
      <c r="B89" s="224"/>
      <c r="C89" s="225" t="s">
        <v>158</v>
      </c>
      <c r="D89" s="226">
        <f>SUM(D86:D88)</f>
        <v>12500</v>
      </c>
      <c r="E89" s="226">
        <f>SUM(E86:E88)</f>
        <v>12366</v>
      </c>
      <c r="F89" s="273" t="str">
        <f>IF((E89&lt;&gt;D78),"Includes $"&amp;(E89-D78)&amp;" rounding differences","")</f>
        <v>Includes $-134 rounding differences</v>
      </c>
      <c r="G89" s="350">
        <f>SUM(G86:G88)</f>
        <v>12500</v>
      </c>
      <c r="H89" s="351" t="e">
        <f>SUM(H86:H88)</f>
        <v>#VALUE!</v>
      </c>
      <c r="I89" s="342"/>
      <c r="J89" s="342"/>
      <c r="K89" s="342"/>
      <c r="L89" s="342"/>
      <c r="M89" s="342"/>
      <c r="N89" s="342"/>
      <c r="O89" s="342"/>
      <c r="P89" s="352"/>
      <c r="Q89" s="352"/>
      <c r="R89" s="282"/>
      <c r="S89" s="282"/>
      <c r="T89" s="282"/>
      <c r="U89" s="239"/>
      <c r="V89" s="239"/>
      <c r="W89" s="239"/>
      <c r="X89" s="239"/>
    </row>
    <row r="90" spans="1:24" s="101" customFormat="1" ht="18.75" thickTop="1">
      <c r="A90" s="227" t="s">
        <v>153</v>
      </c>
      <c r="B90" s="227"/>
      <c r="C90" s="228" t="str">
        <f>IF((D89&lt;(H5*1.04)),I90,I92)</f>
        <v>We will check everything you have provided with the USDE data and regulations</v>
      </c>
      <c r="D90" s="229"/>
      <c r="E90" s="229"/>
      <c r="F90" s="274"/>
      <c r="G90" s="342"/>
      <c r="H90" s="343" t="s">
        <v>84</v>
      </c>
      <c r="I90" s="353" t="s">
        <v>86</v>
      </c>
      <c r="J90" s="342"/>
      <c r="K90" s="342"/>
      <c r="L90" s="342"/>
      <c r="M90" s="342"/>
      <c r="N90" s="342"/>
      <c r="O90" s="342"/>
      <c r="P90" s="342"/>
      <c r="Q90" s="354"/>
      <c r="R90" s="282"/>
      <c r="S90" s="282"/>
      <c r="T90" s="282"/>
      <c r="U90" s="239"/>
      <c r="V90" s="239"/>
      <c r="W90" s="239"/>
      <c r="X90" s="239"/>
    </row>
    <row r="91" spans="1:24" s="101" customFormat="1" ht="18">
      <c r="A91" s="227"/>
      <c r="B91" s="227"/>
      <c r="C91" s="228" t="str">
        <f>IF((D89&lt;(H5*1.04)),I91,I93)</f>
        <v>If everything is correct we will originate your loans and issue a certificate for visa application</v>
      </c>
      <c r="D91" s="229"/>
      <c r="E91" s="229"/>
      <c r="F91" s="274"/>
      <c r="G91" s="342"/>
      <c r="H91" s="343" t="s">
        <v>85</v>
      </c>
      <c r="I91" s="353" t="s">
        <v>100</v>
      </c>
      <c r="J91" s="342"/>
      <c r="K91" s="342"/>
      <c r="L91" s="342"/>
      <c r="M91" s="342"/>
      <c r="N91" s="342"/>
      <c r="O91" s="342"/>
      <c r="P91" s="342"/>
      <c r="Q91" s="342"/>
      <c r="R91" s="282"/>
      <c r="S91" s="282"/>
      <c r="T91" s="282"/>
      <c r="U91" s="239"/>
      <c r="V91" s="239"/>
      <c r="W91" s="239"/>
      <c r="X91" s="239"/>
    </row>
    <row r="92" spans="1:24" s="101" customFormat="1" ht="18">
      <c r="A92" s="210"/>
      <c r="B92" s="210"/>
      <c r="D92" s="229"/>
      <c r="E92" s="229"/>
      <c r="F92" s="274"/>
      <c r="G92" s="342"/>
      <c r="H92" s="343" t="s">
        <v>65</v>
      </c>
      <c r="I92" s="355" t="s">
        <v>87</v>
      </c>
      <c r="J92" s="342"/>
      <c r="K92" s="342"/>
      <c r="L92" s="342"/>
      <c r="M92" s="342"/>
      <c r="N92" s="342"/>
      <c r="O92" s="342"/>
      <c r="P92" s="342"/>
      <c r="Q92" s="342"/>
      <c r="R92" s="282"/>
      <c r="S92" s="282"/>
      <c r="T92" s="282"/>
      <c r="U92" s="239"/>
      <c r="V92" s="239"/>
      <c r="W92" s="239"/>
      <c r="X92" s="239"/>
    </row>
    <row r="93" spans="1:24" s="101" customFormat="1" ht="15.75">
      <c r="A93" s="227" t="s">
        <v>161</v>
      </c>
      <c r="B93" s="243">
        <f>B86</f>
        <v>0.01072</v>
      </c>
      <c r="C93" s="230" t="str">
        <f>C86&amp;" Origination Fee of "&amp;L52&amp;"% less Interest Rebate of "&amp;M52&amp;"%"</f>
        <v>Subsidised - Adjusted by EFC Origination Fee of 1.072% less Interest Rebate of 0%</v>
      </c>
      <c r="D93" s="229"/>
      <c r="E93" s="231"/>
      <c r="F93" s="274"/>
      <c r="G93" s="342"/>
      <c r="H93" s="343" t="s">
        <v>66</v>
      </c>
      <c r="I93" s="342"/>
      <c r="J93" s="342"/>
      <c r="K93" s="342"/>
      <c r="L93" s="342"/>
      <c r="M93" s="342"/>
      <c r="N93" s="342"/>
      <c r="O93" s="342"/>
      <c r="P93" s="342"/>
      <c r="Q93" s="342"/>
      <c r="R93" s="282"/>
      <c r="S93" s="282"/>
      <c r="T93" s="282"/>
      <c r="U93" s="239"/>
      <c r="V93" s="239"/>
      <c r="W93" s="239"/>
      <c r="X93" s="239"/>
    </row>
    <row r="94" spans="1:24" s="101" customFormat="1" ht="12.75">
      <c r="A94" s="232"/>
      <c r="B94" s="243">
        <f>B87</f>
        <v>0.01072</v>
      </c>
      <c r="C94" s="230" t="str">
        <f>C87&amp;" Origination Fee of "&amp;L53&amp;"% less Interest Rebate of "&amp;M53&amp;"%"</f>
        <v>Unsubsudised Origination Fee of 1.072% less Interest Rebate of 0%</v>
      </c>
      <c r="D94" s="229"/>
      <c r="E94" s="229"/>
      <c r="F94" s="274"/>
      <c r="G94" s="342"/>
      <c r="H94" s="342"/>
      <c r="I94" s="342"/>
      <c r="J94" s="342"/>
      <c r="K94" s="342"/>
      <c r="L94" s="342"/>
      <c r="M94" s="342"/>
      <c r="N94" s="342"/>
      <c r="O94" s="342"/>
      <c r="P94" s="342"/>
      <c r="Q94" s="342"/>
      <c r="R94" s="282"/>
      <c r="S94" s="282"/>
      <c r="T94" s="282"/>
      <c r="U94" s="239"/>
      <c r="V94" s="239"/>
      <c r="W94" s="239"/>
      <c r="X94" s="239"/>
    </row>
    <row r="95" spans="1:24" s="101" customFormat="1" ht="12.75">
      <c r="A95" s="232"/>
      <c r="B95" s="243">
        <f>B88</f>
        <v>0.04288</v>
      </c>
      <c r="C95" s="230" t="str">
        <f>C88&amp;" Origination Fee of "&amp;L54&amp;"% less Interest Rebate of "&amp;M54&amp;"%"</f>
        <v>Independent Undergraduates do not qualify for a PLUS Loan Origination Fee of 4.288% less Interest Rebate of 0%</v>
      </c>
      <c r="D95" s="229"/>
      <c r="E95" s="229"/>
      <c r="F95" s="274"/>
      <c r="G95" s="342"/>
      <c r="H95" s="342"/>
      <c r="I95" s="342"/>
      <c r="J95" s="342"/>
      <c r="K95" s="342"/>
      <c r="L95" s="342"/>
      <c r="M95" s="342"/>
      <c r="N95" s="342"/>
      <c r="O95" s="342"/>
      <c r="P95" s="342"/>
      <c r="Q95" s="342"/>
      <c r="R95" s="282"/>
      <c r="S95" s="282"/>
      <c r="T95" s="282"/>
      <c r="U95" s="239"/>
      <c r="V95" s="239"/>
      <c r="W95" s="239"/>
      <c r="X95" s="239"/>
    </row>
    <row r="96" spans="1:24" s="101" customFormat="1" ht="15.75">
      <c r="A96" s="210"/>
      <c r="B96" s="279" t="s">
        <v>356</v>
      </c>
      <c r="C96" s="272" t="s">
        <v>355</v>
      </c>
      <c r="D96" s="229"/>
      <c r="E96" s="229"/>
      <c r="F96" s="274"/>
      <c r="G96" s="342"/>
      <c r="H96" s="342"/>
      <c r="I96" s="342"/>
      <c r="J96" s="342"/>
      <c r="K96" s="342"/>
      <c r="L96" s="342"/>
      <c r="M96" s="342"/>
      <c r="N96" s="342"/>
      <c r="O96" s="342"/>
      <c r="P96" s="342"/>
      <c r="Q96" s="342"/>
      <c r="R96" s="282"/>
      <c r="S96" s="282"/>
      <c r="T96" s="282"/>
      <c r="U96" s="239"/>
      <c r="V96" s="239"/>
      <c r="W96" s="239"/>
      <c r="X96" s="239"/>
    </row>
    <row r="97" spans="1:24" s="101" customFormat="1" ht="12.75">
      <c r="A97" s="210"/>
      <c r="B97" s="210"/>
      <c r="C97" s="272" t="s">
        <v>357</v>
      </c>
      <c r="D97" s="229"/>
      <c r="E97" s="229"/>
      <c r="F97" s="274"/>
      <c r="G97" s="342"/>
      <c r="H97" s="342"/>
      <c r="I97" s="342"/>
      <c r="J97" s="342"/>
      <c r="K97" s="342"/>
      <c r="L97" s="342"/>
      <c r="M97" s="342"/>
      <c r="N97" s="342"/>
      <c r="O97" s="342"/>
      <c r="P97" s="342"/>
      <c r="Q97" s="342"/>
      <c r="R97" s="282"/>
      <c r="S97" s="282"/>
      <c r="T97" s="282"/>
      <c r="U97" s="239"/>
      <c r="V97" s="239"/>
      <c r="W97" s="239"/>
      <c r="X97" s="239"/>
    </row>
    <row r="99" ht="12.75">
      <c r="A99" s="85"/>
    </row>
    <row r="100" ht="12.75">
      <c r="A100" s="85"/>
    </row>
  </sheetData>
  <sheetProtection selectLockedCells="1"/>
  <conditionalFormatting sqref="C27:D29">
    <cfRule type="cellIs" priority="1" dxfId="1" operator="equal" stopIfTrue="1">
      <formula>"Do not adjust this line"</formula>
    </cfRule>
  </conditionalFormatting>
  <conditionalFormatting sqref="J77:K97 J73:J76 L73:IV97 K73:K75 A73:I97">
    <cfRule type="cellIs" priority="2" dxfId="0" operator="lessThan" stopIfTrue="1">
      <formula>0.01</formula>
    </cfRule>
  </conditionalFormatting>
  <dataValidations count="5">
    <dataValidation type="list" allowBlank="1" showInputMessage="1" showErrorMessage="1" sqref="D30">
      <formula1>$G$9:$G$10</formula1>
    </dataValidation>
    <dataValidation type="list" allowBlank="1" showInputMessage="1" showErrorMessage="1" sqref="E29:F29">
      <formula1>$I$9:$I$23</formula1>
    </dataValidation>
    <dataValidation type="list" allowBlank="1" showInputMessage="1" showErrorMessage="1" sqref="D37">
      <formula1>$G$12:$G$13</formula1>
    </dataValidation>
    <dataValidation type="list" allowBlank="1" showInputMessage="1" showErrorMessage="1" sqref="D29">
      <formula1>$I$9:$I$11</formula1>
    </dataValidation>
    <dataValidation type="list" allowBlank="1" showInputMessage="1" showErrorMessage="1" sqref="D26:D28">
      <formula1>$H$9:$H$10</formula1>
    </dataValidation>
  </dataValidations>
  <printOptions horizontalCentered="1" verticalCentered="1"/>
  <pageMargins left="0.31496062992125984" right="0.1968503937007874" top="0.1968503937007874" bottom="0.3937007874015748" header="0" footer="0"/>
  <pageSetup fitToHeight="1" fitToWidth="1" horizontalDpi="600" verticalDpi="600" orientation="portrait" paperSize="9" scale="51" r:id="rId3"/>
  <drawing r:id="rId2"/>
  <tableParts>
    <tablePart r:id="rId1"/>
  </tableParts>
</worksheet>
</file>

<file path=xl/worksheets/sheet4.xml><?xml version="1.0" encoding="utf-8"?>
<worksheet xmlns="http://schemas.openxmlformats.org/spreadsheetml/2006/main" xmlns:r="http://schemas.openxmlformats.org/officeDocument/2006/relationships">
  <sheetPr codeName="Sheet4">
    <pageSetUpPr fitToPage="1"/>
  </sheetPr>
  <dimension ref="A1:E30"/>
  <sheetViews>
    <sheetView zoomScale="75" zoomScaleNormal="75" zoomScalePageLayoutView="0" workbookViewId="0" topLeftCell="A1">
      <selection activeCell="B24" sqref="B24"/>
    </sheetView>
  </sheetViews>
  <sheetFormatPr defaultColWidth="9.140625" defaultRowHeight="12.75"/>
  <cols>
    <col min="1" max="1" width="81.140625" style="44" bestFit="1" customWidth="1"/>
    <col min="2" max="2" width="13.28125" style="44" bestFit="1" customWidth="1"/>
    <col min="3" max="3" width="116.8515625" style="44" customWidth="1"/>
    <col min="4" max="4" width="9.140625" style="44" customWidth="1"/>
    <col min="5" max="5" width="0" style="44" hidden="1" customWidth="1"/>
    <col min="6" max="16384" width="9.140625" style="44" customWidth="1"/>
  </cols>
  <sheetData>
    <row r="1" spans="1:5" s="8" customFormat="1" ht="12.75">
      <c r="A1" s="169" t="s">
        <v>98</v>
      </c>
      <c r="B1" s="170"/>
      <c r="C1" s="171"/>
      <c r="E1" s="172" t="s">
        <v>112</v>
      </c>
    </row>
    <row r="2" spans="1:5" s="8" customFormat="1" ht="12.75">
      <c r="A2" s="173" t="s">
        <v>97</v>
      </c>
      <c r="B2" s="174"/>
      <c r="C2" s="175"/>
      <c r="E2" s="172" t="s">
        <v>6</v>
      </c>
    </row>
    <row r="3" spans="1:5" s="8" customFormat="1" ht="12.75">
      <c r="A3" s="173" t="s">
        <v>128</v>
      </c>
      <c r="B3" s="174"/>
      <c r="C3" s="175"/>
      <c r="E3" s="172"/>
    </row>
    <row r="4" spans="1:5" s="8" customFormat="1" ht="12.75">
      <c r="A4" s="173"/>
      <c r="B4" s="174"/>
      <c r="C4" s="175"/>
      <c r="E4" s="172" t="s">
        <v>7</v>
      </c>
    </row>
    <row r="5" spans="1:5" s="8" customFormat="1" ht="12.75">
      <c r="A5" s="173"/>
      <c r="B5" s="174" t="s">
        <v>99</v>
      </c>
      <c r="C5" s="175" t="s">
        <v>104</v>
      </c>
      <c r="E5" s="172"/>
    </row>
    <row r="6" spans="1:3" s="8" customFormat="1" ht="15.75">
      <c r="A6" s="176" t="s">
        <v>26</v>
      </c>
      <c r="B6" s="174" t="s">
        <v>105</v>
      </c>
      <c r="C6" s="177"/>
    </row>
    <row r="7" spans="1:3" s="8" customFormat="1" ht="15.75">
      <c r="A7" s="178" t="s">
        <v>248</v>
      </c>
      <c r="B7" s="65" t="s">
        <v>63</v>
      </c>
      <c r="C7" s="179" t="str">
        <f aca="true" t="shared" si="0" ref="C7:C12">IF((B7="n"),"Go back to the Cost of Attendance and enter it or we cannot process your application","")</f>
        <v>Go back to the Cost of Attendance and enter it or we cannot process your application</v>
      </c>
    </row>
    <row r="8" spans="1:3" s="8" customFormat="1" ht="15.75">
      <c r="A8" s="178" t="s">
        <v>249</v>
      </c>
      <c r="B8" s="65" t="s">
        <v>63</v>
      </c>
      <c r="C8" s="179" t="str">
        <f t="shared" si="0"/>
        <v>Go back to the Cost of Attendance and enter it or we cannot process your application</v>
      </c>
    </row>
    <row r="9" spans="1:3" s="8" customFormat="1" ht="15.75">
      <c r="A9" s="178" t="s">
        <v>250</v>
      </c>
      <c r="B9" s="65" t="s">
        <v>63</v>
      </c>
      <c r="C9" s="179" t="str">
        <f t="shared" si="0"/>
        <v>Go back to the Cost of Attendance and enter it or we cannot process your application</v>
      </c>
    </row>
    <row r="10" spans="1:3" ht="15.75">
      <c r="A10" s="178" t="s">
        <v>251</v>
      </c>
      <c r="B10" s="65" t="s">
        <v>63</v>
      </c>
      <c r="C10" s="179" t="str">
        <f t="shared" si="0"/>
        <v>Go back to the Cost of Attendance and enter it or we cannot process your application</v>
      </c>
    </row>
    <row r="11" spans="1:3" ht="15.75">
      <c r="A11" s="178" t="s">
        <v>252</v>
      </c>
      <c r="B11" s="65" t="s">
        <v>63</v>
      </c>
      <c r="C11" s="179" t="str">
        <f t="shared" si="0"/>
        <v>Go back to the Cost of Attendance and enter it or we cannot process your application</v>
      </c>
    </row>
    <row r="12" spans="1:3" ht="15.75">
      <c r="A12" s="178" t="s">
        <v>247</v>
      </c>
      <c r="B12" s="65" t="s">
        <v>63</v>
      </c>
      <c r="C12" s="179" t="str">
        <f t="shared" si="0"/>
        <v>Go back to the Cost of Attendance and enter it or we cannot process your application</v>
      </c>
    </row>
    <row r="13" ht="12.75">
      <c r="B13" s="101"/>
    </row>
    <row r="14" spans="2:3" ht="12.75">
      <c r="B14" s="180"/>
      <c r="C14" s="181"/>
    </row>
    <row r="15" spans="1:3" ht="15.75">
      <c r="A15" s="182" t="s">
        <v>108</v>
      </c>
      <c r="B15" s="180"/>
      <c r="C15" s="179"/>
    </row>
    <row r="16" spans="1:2" ht="12.75">
      <c r="A16" s="178" t="s">
        <v>133</v>
      </c>
      <c r="B16" s="65" t="s">
        <v>63</v>
      </c>
    </row>
    <row r="17" spans="1:3" ht="15.75">
      <c r="A17" s="178" t="str">
        <f>IF((B16="N"),"Have you signed up for selective service","")</f>
        <v>Have you signed up for selective service</v>
      </c>
      <c r="B17" s="65" t="s">
        <v>63</v>
      </c>
      <c r="C17" s="179"/>
    </row>
    <row r="18" spans="1:3" ht="15.75">
      <c r="A18" s="178" t="str">
        <f>IF((B17="N"),"Have you attached proof you are exempt from selective service","")</f>
        <v>Have you attached proof you are exempt from selective service</v>
      </c>
      <c r="B18" s="65" t="s">
        <v>63</v>
      </c>
      <c r="C18" s="179" t="str">
        <f>IF(((B18="n")*AND(B17="n")),"Application Rejected","")</f>
        <v>Application Rejected</v>
      </c>
    </row>
    <row r="19" spans="1:3" ht="15.75">
      <c r="A19" s="178"/>
      <c r="B19" s="180"/>
      <c r="C19" s="179"/>
    </row>
    <row r="20" spans="1:3" ht="15.75">
      <c r="A20" s="182" t="s">
        <v>109</v>
      </c>
      <c r="B20" s="180"/>
      <c r="C20" s="179"/>
    </row>
    <row r="21" spans="1:3" ht="15.75">
      <c r="A21" s="178" t="s">
        <v>106</v>
      </c>
      <c r="B21" s="65" t="s">
        <v>63</v>
      </c>
      <c r="C21" s="179" t="str">
        <f>IF((B21="n"),"Application Rejected","")</f>
        <v>Application Rejected</v>
      </c>
    </row>
    <row r="22" spans="1:3" ht="15.75">
      <c r="A22" s="178" t="s">
        <v>107</v>
      </c>
      <c r="B22" s="65" t="s">
        <v>63</v>
      </c>
      <c r="C22" s="179"/>
    </row>
    <row r="23" spans="1:3" ht="15.75">
      <c r="A23" s="178">
        <f>IF((B22="Y"),"Have you attached your PLUS MPN","")</f>
      </c>
      <c r="B23" s="65" t="s">
        <v>63</v>
      </c>
      <c r="C23" s="179">
        <f>IF(((B23="n")*AND(B22="y")),"Application Rejected","")</f>
      </c>
    </row>
    <row r="24" spans="1:3" ht="15.75">
      <c r="A24" s="178">
        <f>IF((B22="Y"),"Have you attached your Credit Check result email or screenshot","")</f>
      </c>
      <c r="B24" s="65" t="s">
        <v>63</v>
      </c>
      <c r="C24" s="179">
        <f>IF(((B24="n")*AND(B22="y")),"Application Rejected","")</f>
      </c>
    </row>
    <row r="25" spans="1:3" ht="15.75">
      <c r="A25" s="178"/>
      <c r="B25" s="180"/>
      <c r="C25" s="179"/>
    </row>
    <row r="26" spans="1:3" ht="15.75">
      <c r="A26" s="182" t="s">
        <v>110</v>
      </c>
      <c r="B26" s="180"/>
      <c r="C26" s="179"/>
    </row>
    <row r="27" spans="1:3" ht="15.75">
      <c r="A27" s="178" t="s">
        <v>111</v>
      </c>
      <c r="B27" s="65" t="s">
        <v>63</v>
      </c>
      <c r="C27" s="179" t="str">
        <f>IF((B27="n"),"Application Rejected","")</f>
        <v>Application Rejected</v>
      </c>
    </row>
    <row r="28" spans="1:3" ht="15.75">
      <c r="A28" s="178"/>
      <c r="B28" s="180"/>
      <c r="C28" s="179">
        <f>IF((B28="n"),"Application Rejected","")</f>
      </c>
    </row>
    <row r="29" spans="1:3" s="186" customFormat="1" ht="16.5" thickBot="1">
      <c r="A29" s="183" t="s">
        <v>129</v>
      </c>
      <c r="B29" s="184"/>
      <c r="C29" s="185"/>
    </row>
    <row r="30" ht="15.75">
      <c r="C30" s="186"/>
    </row>
  </sheetData>
  <sheetProtection password="E740" sheet="1" objects="1" scenarios="1" selectLockedCells="1"/>
  <dataValidations count="1">
    <dataValidation type="list" allowBlank="1" showInputMessage="1" showErrorMessage="1" sqref="B16:B18 B7:B12 B21:B24 B27">
      <formula1>$E$2:$E$5</formula1>
    </dataValidation>
  </dataValidations>
  <printOptions/>
  <pageMargins left="0.75" right="0.75" top="1" bottom="1" header="0.5" footer="0.5"/>
  <pageSetup fitToHeight="1" fitToWidth="1" horizontalDpi="600" verticalDpi="600" orientation="portrait" paperSize="9" scale="41"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K52"/>
  <sheetViews>
    <sheetView zoomScale="75" zoomScaleNormal="75" zoomScalePageLayoutView="0" workbookViewId="0" topLeftCell="L1">
      <selection activeCell="AB23" sqref="AB23"/>
    </sheetView>
  </sheetViews>
  <sheetFormatPr defaultColWidth="9.140625" defaultRowHeight="12.75"/>
  <cols>
    <col min="1" max="1" width="0" style="202" hidden="1" customWidth="1"/>
    <col min="2" max="2" width="32.140625" style="139" hidden="1" customWidth="1"/>
    <col min="3" max="3" width="38.140625" style="139" hidden="1" customWidth="1"/>
    <col min="4" max="4" width="16.28125" style="139" hidden="1" customWidth="1"/>
    <col min="5" max="5" width="14.00390625" style="139" hidden="1" customWidth="1"/>
    <col min="6" max="6" width="5.140625" style="144" hidden="1" customWidth="1"/>
    <col min="7" max="7" width="72.7109375" style="139" hidden="1" customWidth="1"/>
    <col min="8" max="8" width="14.28125" style="139" hidden="1" customWidth="1"/>
    <col min="9" max="9" width="19.57421875" style="139" hidden="1" customWidth="1"/>
    <col min="10" max="10" width="14.28125" style="139" hidden="1" customWidth="1"/>
    <col min="11" max="11" width="0" style="139" hidden="1" customWidth="1"/>
    <col min="12" max="16384" width="9.140625" style="139" customWidth="1"/>
  </cols>
  <sheetData>
    <row r="1" spans="1:10" s="207" customFormat="1" ht="20.25">
      <c r="A1" s="244"/>
      <c r="B1" s="206" t="s">
        <v>308</v>
      </c>
      <c r="C1" s="206"/>
      <c r="D1" s="206" t="s">
        <v>321</v>
      </c>
      <c r="E1" s="206"/>
      <c r="F1" s="247"/>
      <c r="G1" s="206"/>
      <c r="H1" s="206"/>
      <c r="I1" s="206"/>
      <c r="J1" s="206"/>
    </row>
    <row r="2" spans="1:10" s="141" customFormat="1" ht="15.75">
      <c r="A2" s="245"/>
      <c r="D2" s="140" t="s">
        <v>322</v>
      </c>
      <c r="E2" s="140"/>
      <c r="F2" s="248"/>
      <c r="G2" s="140"/>
      <c r="H2" s="140"/>
      <c r="I2" s="140"/>
      <c r="J2" s="140"/>
    </row>
    <row r="3" spans="1:8" s="149" customFormat="1" ht="15.75">
      <c r="A3" s="246"/>
      <c r="D3" s="149" t="s">
        <v>253</v>
      </c>
      <c r="F3" s="246"/>
      <c r="G3" s="150"/>
      <c r="H3" s="149" t="s">
        <v>254</v>
      </c>
    </row>
    <row r="4" spans="1:6" s="149" customFormat="1" ht="15.75">
      <c r="A4" s="246"/>
      <c r="F4" s="246"/>
    </row>
    <row r="5" spans="4:11" ht="12.75">
      <c r="D5" s="204" t="s">
        <v>327</v>
      </c>
      <c r="E5" s="205"/>
      <c r="H5" s="204" t="s">
        <v>328</v>
      </c>
      <c r="I5" s="205"/>
      <c r="J5" s="204"/>
      <c r="K5" s="277"/>
    </row>
    <row r="6" spans="1:8" s="138" customFormat="1" ht="12.75">
      <c r="A6" s="202">
        <v>1</v>
      </c>
      <c r="B6" s="138" t="s">
        <v>212</v>
      </c>
      <c r="C6" s="142" t="s">
        <v>235</v>
      </c>
      <c r="D6" s="199" t="s">
        <v>347</v>
      </c>
      <c r="F6" s="202">
        <v>6</v>
      </c>
      <c r="G6" s="138" t="s">
        <v>233</v>
      </c>
      <c r="H6" s="139"/>
    </row>
    <row r="7" spans="3:10" ht="12.75">
      <c r="C7" s="142" t="s">
        <v>213</v>
      </c>
      <c r="D7" s="195">
        <v>41913</v>
      </c>
      <c r="E7" s="151">
        <f>D7+364</f>
        <v>42277</v>
      </c>
      <c r="G7" s="139" t="s">
        <v>281</v>
      </c>
      <c r="H7" s="194">
        <v>23064</v>
      </c>
      <c r="I7" s="152"/>
      <c r="J7" s="153">
        <f>H7</f>
        <v>23064</v>
      </c>
    </row>
    <row r="8" spans="3:10" ht="12.75">
      <c r="C8" s="142" t="s">
        <v>295</v>
      </c>
      <c r="D8" s="195">
        <v>41671</v>
      </c>
      <c r="H8" s="154"/>
      <c r="I8" s="152"/>
      <c r="J8" s="152"/>
    </row>
    <row r="9" spans="1:10" s="138" customFormat="1" ht="12.75">
      <c r="A9" s="202"/>
      <c r="B9" s="138" t="s">
        <v>215</v>
      </c>
      <c r="D9" s="145"/>
      <c r="F9" s="202">
        <v>7</v>
      </c>
      <c r="G9" s="138" t="s">
        <v>236</v>
      </c>
      <c r="H9" s="204" t="s">
        <v>330</v>
      </c>
      <c r="I9" s="205"/>
      <c r="J9" s="204"/>
    </row>
    <row r="10" spans="1:10" s="138" customFormat="1" ht="12.75">
      <c r="A10" s="202"/>
      <c r="B10" s="139" t="s">
        <v>214</v>
      </c>
      <c r="D10" s="195">
        <v>41540</v>
      </c>
      <c r="E10" s="156" t="s">
        <v>244</v>
      </c>
      <c r="F10" s="202"/>
      <c r="G10" s="139" t="s">
        <v>237</v>
      </c>
      <c r="H10" s="194">
        <v>260</v>
      </c>
      <c r="I10" s="157"/>
      <c r="J10" s="155"/>
    </row>
    <row r="11" spans="1:10" s="138" customFormat="1" ht="12.75">
      <c r="A11" s="202"/>
      <c r="B11" s="139" t="s">
        <v>255</v>
      </c>
      <c r="D11" s="195">
        <v>41825</v>
      </c>
      <c r="E11" s="158">
        <f>ROUND(((MAX(D11:D12)-D10)/7),0)</f>
        <v>41</v>
      </c>
      <c r="F11" s="202"/>
      <c r="G11" s="139" t="s">
        <v>242</v>
      </c>
      <c r="H11" s="194">
        <v>250</v>
      </c>
      <c r="I11" s="153">
        <f>MAX(H10:H11)</f>
        <v>260</v>
      </c>
      <c r="J11" s="155"/>
    </row>
    <row r="12" spans="1:10" s="138" customFormat="1" ht="12.75">
      <c r="A12" s="202"/>
      <c r="B12" s="146" t="s">
        <v>256</v>
      </c>
      <c r="C12" s="139" t="s">
        <v>257</v>
      </c>
      <c r="D12" s="195">
        <v>41825</v>
      </c>
      <c r="E12" s="156" t="s">
        <v>285</v>
      </c>
      <c r="F12" s="202"/>
      <c r="G12" s="139" t="s">
        <v>306</v>
      </c>
      <c r="H12" s="194">
        <v>20</v>
      </c>
      <c r="I12" s="155"/>
      <c r="J12" s="155"/>
    </row>
    <row r="13" spans="1:10" s="142" customFormat="1" ht="12.75">
      <c r="A13" s="202"/>
      <c r="D13" s="143"/>
      <c r="E13" s="156">
        <v>52</v>
      </c>
      <c r="F13" s="202"/>
      <c r="G13" s="139" t="s">
        <v>282</v>
      </c>
      <c r="H13" s="194">
        <v>70</v>
      </c>
      <c r="I13" s="159"/>
      <c r="J13" s="159"/>
    </row>
    <row r="14" spans="1:10" ht="12.75">
      <c r="A14" s="202">
        <v>2</v>
      </c>
      <c r="B14" s="138" t="s">
        <v>216</v>
      </c>
      <c r="C14" s="142"/>
      <c r="D14" s="145"/>
      <c r="G14" s="139" t="s">
        <v>240</v>
      </c>
      <c r="H14" s="194">
        <v>30</v>
      </c>
      <c r="I14" s="152"/>
      <c r="J14" s="152"/>
    </row>
    <row r="15" spans="2:10" ht="12.75">
      <c r="B15" s="138" t="s">
        <v>243</v>
      </c>
      <c r="D15" s="145"/>
      <c r="G15" s="139" t="s">
        <v>241</v>
      </c>
      <c r="H15" s="194">
        <v>37</v>
      </c>
      <c r="I15" s="152"/>
      <c r="J15" s="152"/>
    </row>
    <row r="16" spans="2:10" ht="12.75">
      <c r="B16" s="142" t="s">
        <v>217</v>
      </c>
      <c r="D16" s="145"/>
      <c r="G16" s="139" t="s">
        <v>320</v>
      </c>
      <c r="H16" s="194">
        <v>80</v>
      </c>
      <c r="I16" s="153">
        <f>SUM(H12:H16)</f>
        <v>237</v>
      </c>
      <c r="J16" s="153">
        <f>(SUM(I11:I16))*E13</f>
        <v>25844</v>
      </c>
    </row>
    <row r="17" spans="2:10" ht="12.75">
      <c r="B17" s="142" t="s">
        <v>307</v>
      </c>
      <c r="D17" s="204" t="s">
        <v>343</v>
      </c>
      <c r="E17" s="205"/>
      <c r="H17" s="145"/>
      <c r="I17" s="152"/>
      <c r="J17" s="152"/>
    </row>
    <row r="18" spans="2:10" ht="12.75">
      <c r="B18" s="139" t="s">
        <v>218</v>
      </c>
      <c r="D18" s="195">
        <v>41913</v>
      </c>
      <c r="E18" s="151">
        <f>D19-1</f>
        <v>42015</v>
      </c>
      <c r="F18" s="144">
        <v>8</v>
      </c>
      <c r="G18" s="138" t="s">
        <v>246</v>
      </c>
      <c r="H18" s="145"/>
      <c r="I18" s="152"/>
      <c r="J18" s="152"/>
    </row>
    <row r="19" spans="2:10" ht="12.75">
      <c r="B19" s="139" t="s">
        <v>220</v>
      </c>
      <c r="D19" s="195">
        <v>42016</v>
      </c>
      <c r="E19" s="151">
        <f>IF((D20&gt;0),(D20-1),(MAX(D10:D11)))</f>
        <v>42120</v>
      </c>
      <c r="G19" s="139" t="s">
        <v>349</v>
      </c>
      <c r="H19" s="194">
        <v>1900</v>
      </c>
      <c r="I19" s="160"/>
      <c r="J19" s="153">
        <f>H19*2</f>
        <v>3800</v>
      </c>
    </row>
    <row r="20" spans="2:10" ht="12.75">
      <c r="B20" s="139" t="s">
        <v>219</v>
      </c>
      <c r="D20" s="195">
        <v>42121</v>
      </c>
      <c r="E20" s="151">
        <f>IF((D21&gt;0),(D21-1),(MAX(D11:D12)))</f>
        <v>41825</v>
      </c>
      <c r="G20" s="139" t="s">
        <v>351</v>
      </c>
      <c r="H20" s="194">
        <v>215</v>
      </c>
      <c r="I20" s="160"/>
      <c r="J20" s="152"/>
    </row>
    <row r="21" spans="2:10" ht="12.75">
      <c r="B21" s="139" t="s">
        <v>221</v>
      </c>
      <c r="D21" s="195"/>
      <c r="E21" s="151">
        <f>IF((D22&gt;0),(D22-1),(MAX(D11:D12)))</f>
        <v>41825</v>
      </c>
      <c r="G21" s="139" t="s">
        <v>350</v>
      </c>
      <c r="H21" s="194">
        <v>700</v>
      </c>
      <c r="I21" s="160"/>
      <c r="J21" s="152"/>
    </row>
    <row r="22" spans="5:10" ht="12.75">
      <c r="E22" s="151">
        <f>E18</f>
        <v>42015</v>
      </c>
      <c r="F22" s="249" t="s">
        <v>309</v>
      </c>
      <c r="G22" s="196" t="s">
        <v>4</v>
      </c>
      <c r="H22" s="194">
        <v>0</v>
      </c>
      <c r="I22" s="160"/>
      <c r="J22" s="152"/>
    </row>
    <row r="23" spans="1:10" ht="12.75">
      <c r="A23" s="202">
        <v>3</v>
      </c>
      <c r="B23" s="138" t="s">
        <v>271</v>
      </c>
      <c r="D23" s="145"/>
      <c r="E23" s="151">
        <f>IF((D20&gt;1),(D20-1),E7)</f>
        <v>42120</v>
      </c>
      <c r="F23" s="249" t="s">
        <v>310</v>
      </c>
      <c r="G23" s="196" t="s">
        <v>4</v>
      </c>
      <c r="H23" s="194">
        <v>0</v>
      </c>
      <c r="I23" s="160"/>
      <c r="J23" s="152"/>
    </row>
    <row r="24" spans="3:10" ht="12.75">
      <c r="C24" s="142" t="s">
        <v>238</v>
      </c>
      <c r="D24" s="145"/>
      <c r="E24" s="151">
        <f>IF((D21&gt;1),(D21-1),E7)</f>
        <v>42277</v>
      </c>
      <c r="F24" s="249" t="s">
        <v>311</v>
      </c>
      <c r="G24" s="196" t="s">
        <v>4</v>
      </c>
      <c r="H24" s="194">
        <v>0</v>
      </c>
      <c r="I24" s="160"/>
      <c r="J24" s="152"/>
    </row>
    <row r="25" spans="3:10" ht="12.75">
      <c r="C25" s="142" t="s">
        <v>239</v>
      </c>
      <c r="D25" s="145"/>
      <c r="E25" s="151">
        <f>IF((D22&gt;1),(D22-1),E7)</f>
        <v>42277</v>
      </c>
      <c r="F25" s="249" t="s">
        <v>312</v>
      </c>
      <c r="G25" s="196" t="s">
        <v>4</v>
      </c>
      <c r="H25" s="194">
        <v>0</v>
      </c>
      <c r="I25" s="152"/>
      <c r="J25" s="153">
        <f>SUM(H20:H25)</f>
        <v>915</v>
      </c>
    </row>
    <row r="26" spans="3:4" ht="12.75">
      <c r="C26" s="147" t="s">
        <v>224</v>
      </c>
      <c r="D26" s="197" t="s">
        <v>272</v>
      </c>
    </row>
    <row r="27" spans="3:4" ht="12.75">
      <c r="C27" s="147" t="s">
        <v>225</v>
      </c>
      <c r="D27" s="197" t="s">
        <v>273</v>
      </c>
    </row>
    <row r="28" spans="3:11" ht="12.75">
      <c r="C28" s="147" t="s">
        <v>226</v>
      </c>
      <c r="D28" s="197" t="s">
        <v>283</v>
      </c>
      <c r="F28" s="144">
        <v>9</v>
      </c>
      <c r="G28" s="138" t="s">
        <v>332</v>
      </c>
      <c r="H28" s="138"/>
      <c r="I28" s="204" t="s">
        <v>329</v>
      </c>
      <c r="J28" s="205"/>
      <c r="K28" s="277"/>
    </row>
    <row r="29" spans="3:10" ht="12.75">
      <c r="C29" s="147" t="s">
        <v>227</v>
      </c>
      <c r="D29" s="197" t="s">
        <v>274</v>
      </c>
      <c r="G29" s="142" t="s">
        <v>222</v>
      </c>
      <c r="H29" s="142" t="s">
        <v>223</v>
      </c>
      <c r="I29" s="276">
        <v>41716</v>
      </c>
      <c r="J29" s="139" t="s">
        <v>348</v>
      </c>
    </row>
    <row r="30" spans="3:9" ht="12.75">
      <c r="C30" s="147" t="s">
        <v>228</v>
      </c>
      <c r="D30" s="197" t="s">
        <v>275</v>
      </c>
      <c r="G30" s="142" t="s">
        <v>279</v>
      </c>
      <c r="H30" s="142" t="s">
        <v>223</v>
      </c>
      <c r="I30" s="276">
        <v>41944</v>
      </c>
    </row>
    <row r="31" spans="3:10" ht="12.75">
      <c r="C31" s="147" t="s">
        <v>229</v>
      </c>
      <c r="D31" s="197" t="s">
        <v>276</v>
      </c>
      <c r="G31" s="142" t="s">
        <v>232</v>
      </c>
      <c r="H31" s="138" t="s">
        <v>197</v>
      </c>
      <c r="I31" s="202" t="s">
        <v>43</v>
      </c>
      <c r="J31" s="202" t="s">
        <v>196</v>
      </c>
    </row>
    <row r="32" spans="3:10" ht="12.75">
      <c r="C32" s="147" t="s">
        <v>230</v>
      </c>
      <c r="D32" s="197" t="s">
        <v>277</v>
      </c>
      <c r="G32" s="142" t="s">
        <v>326</v>
      </c>
      <c r="H32" s="139" t="s">
        <v>195</v>
      </c>
      <c r="I32" s="203">
        <v>1.66</v>
      </c>
      <c r="J32" s="203">
        <v>0.3</v>
      </c>
    </row>
    <row r="33" spans="3:10" ht="12.75">
      <c r="C33" s="147" t="s">
        <v>231</v>
      </c>
      <c r="D33" s="197" t="s">
        <v>278</v>
      </c>
      <c r="H33" s="139" t="s">
        <v>198</v>
      </c>
      <c r="I33" s="203">
        <v>1.68</v>
      </c>
      <c r="J33" s="203"/>
    </row>
    <row r="34" spans="8:10" ht="12.75">
      <c r="H34" s="139" t="s">
        <v>199</v>
      </c>
      <c r="I34" s="203">
        <v>1.73</v>
      </c>
      <c r="J34" s="203"/>
    </row>
    <row r="35" spans="1:11" ht="12.75">
      <c r="A35" s="202">
        <v>4</v>
      </c>
      <c r="B35" s="138" t="s">
        <v>346</v>
      </c>
      <c r="H35" s="139" t="s">
        <v>200</v>
      </c>
      <c r="I35" s="203"/>
      <c r="J35" s="203"/>
      <c r="K35" s="138"/>
    </row>
    <row r="36" spans="2:11" ht="12.75">
      <c r="B36" s="142" t="s">
        <v>234</v>
      </c>
      <c r="D36" s="204" t="s">
        <v>340</v>
      </c>
      <c r="E36" s="204"/>
      <c r="F36" s="250"/>
      <c r="H36" s="139" t="s">
        <v>201</v>
      </c>
      <c r="I36" s="203"/>
      <c r="J36" s="203"/>
      <c r="K36" s="142"/>
    </row>
    <row r="37" spans="3:10" ht="12.75">
      <c r="C37" s="142" t="s">
        <v>89</v>
      </c>
      <c r="D37" s="200" t="s">
        <v>210</v>
      </c>
      <c r="E37" s="200" t="s">
        <v>211</v>
      </c>
      <c r="H37" s="139" t="s">
        <v>202</v>
      </c>
      <c r="I37" s="203"/>
      <c r="J37" s="203"/>
    </row>
    <row r="38" spans="1:11" s="138" customFormat="1" ht="12.75">
      <c r="A38" s="202"/>
      <c r="B38" s="142"/>
      <c r="C38" s="139" t="s">
        <v>207</v>
      </c>
      <c r="D38" s="197">
        <v>1.072</v>
      </c>
      <c r="E38" s="197">
        <v>0</v>
      </c>
      <c r="F38" s="202"/>
      <c r="G38" s="139"/>
      <c r="H38" s="139" t="s">
        <v>203</v>
      </c>
      <c r="I38" s="203"/>
      <c r="J38" s="203"/>
      <c r="K38" s="139"/>
    </row>
    <row r="39" spans="1:11" s="142" customFormat="1" ht="12.75">
      <c r="A39" s="202"/>
      <c r="B39" s="139"/>
      <c r="C39" s="139" t="s">
        <v>208</v>
      </c>
      <c r="D39" s="197">
        <v>1.072</v>
      </c>
      <c r="E39" s="197">
        <v>0</v>
      </c>
      <c r="F39" s="202"/>
      <c r="G39" s="139"/>
      <c r="H39" s="139" t="s">
        <v>204</v>
      </c>
      <c r="I39" s="203"/>
      <c r="J39" s="203"/>
      <c r="K39" s="139"/>
    </row>
    <row r="40" spans="3:10" ht="12.75">
      <c r="C40" s="139" t="s">
        <v>209</v>
      </c>
      <c r="D40" s="197">
        <v>4.288</v>
      </c>
      <c r="E40" s="197">
        <v>0</v>
      </c>
      <c r="G40" s="98"/>
      <c r="H40" s="139" t="s">
        <v>205</v>
      </c>
      <c r="I40" s="203"/>
      <c r="J40" s="203"/>
    </row>
    <row r="41" spans="3:10" ht="12.75">
      <c r="C41" s="156" t="s">
        <v>270</v>
      </c>
      <c r="D41" s="201">
        <f>MAX(D38:D40)</f>
        <v>4.288</v>
      </c>
      <c r="E41" s="146"/>
      <c r="G41" s="162"/>
      <c r="H41" s="139" t="s">
        <v>206</v>
      </c>
      <c r="I41" s="203"/>
      <c r="J41" s="203"/>
    </row>
    <row r="42" spans="7:10" ht="12.75">
      <c r="G42" s="162"/>
      <c r="H42" s="156" t="s">
        <v>245</v>
      </c>
      <c r="I42" s="201">
        <f>MAX(I32:I41)</f>
        <v>1.73</v>
      </c>
      <c r="J42" s="201">
        <f>MAX(J32:J41)</f>
        <v>0.3</v>
      </c>
    </row>
    <row r="43" spans="1:10" ht="12.75">
      <c r="A43" s="202">
        <v>5</v>
      </c>
      <c r="B43" s="138" t="s">
        <v>331</v>
      </c>
      <c r="G43" s="162"/>
      <c r="H43" s="163"/>
      <c r="I43" s="163"/>
      <c r="J43" s="163"/>
    </row>
    <row r="44" spans="2:9" ht="12.75">
      <c r="B44" s="142" t="s">
        <v>342</v>
      </c>
      <c r="G44" s="156" t="s">
        <v>269</v>
      </c>
      <c r="H44" s="156">
        <f>ROUND((I42+(I42*(J42/100))),2)</f>
        <v>1.74</v>
      </c>
      <c r="I44" s="164"/>
    </row>
    <row r="45" spans="2:10" ht="12.75">
      <c r="B45" s="142"/>
      <c r="D45" s="204" t="s">
        <v>341</v>
      </c>
      <c r="E45" s="204"/>
      <c r="F45" s="250"/>
      <c r="I45" s="142"/>
      <c r="J45" s="142"/>
    </row>
    <row r="46" spans="2:8" ht="25.5">
      <c r="B46" s="165" t="s">
        <v>92</v>
      </c>
      <c r="C46" s="165" t="s">
        <v>81</v>
      </c>
      <c r="D46" s="165" t="s">
        <v>290</v>
      </c>
      <c r="E46" s="165" t="s">
        <v>291</v>
      </c>
      <c r="G46" s="156" t="s">
        <v>292</v>
      </c>
      <c r="H46" s="166">
        <f>ROUND(((SUM(J7:J25))*H44),0)</f>
        <v>93304</v>
      </c>
    </row>
    <row r="47" spans="2:8" ht="12.75">
      <c r="B47" s="146" t="s">
        <v>286</v>
      </c>
      <c r="C47" s="198">
        <v>3500</v>
      </c>
      <c r="D47" s="198">
        <v>2000</v>
      </c>
      <c r="E47" s="198">
        <v>6000</v>
      </c>
      <c r="G47" s="156" t="s">
        <v>293</v>
      </c>
      <c r="H47" s="167">
        <f>ROUND((H46*0.1),0)</f>
        <v>9330</v>
      </c>
    </row>
    <row r="48" spans="2:8" ht="12.75">
      <c r="B48" s="146" t="s">
        <v>287</v>
      </c>
      <c r="C48" s="198">
        <v>4500</v>
      </c>
      <c r="D48" s="198">
        <v>2000</v>
      </c>
      <c r="E48" s="198">
        <v>6000</v>
      </c>
      <c r="G48" s="156"/>
      <c r="H48" s="166">
        <f>SUM(H46:H47)</f>
        <v>102634</v>
      </c>
    </row>
    <row r="49" spans="2:8" ht="12.75">
      <c r="B49" s="146" t="s">
        <v>288</v>
      </c>
      <c r="C49" s="198">
        <v>5500</v>
      </c>
      <c r="D49" s="198">
        <v>2000</v>
      </c>
      <c r="E49" s="198">
        <v>7000</v>
      </c>
      <c r="G49" s="156" t="s">
        <v>294</v>
      </c>
      <c r="H49" s="156">
        <f>H48/100*D41</f>
        <v>4400.94592</v>
      </c>
    </row>
    <row r="50" spans="2:8" ht="13.5" thickBot="1">
      <c r="B50" s="146" t="s">
        <v>289</v>
      </c>
      <c r="C50" s="198">
        <v>5500</v>
      </c>
      <c r="D50" s="198">
        <v>2000</v>
      </c>
      <c r="E50" s="198">
        <v>7000</v>
      </c>
      <c r="G50" s="156" t="s">
        <v>297</v>
      </c>
      <c r="H50" s="168">
        <f>SUM(H48:H49)</f>
        <v>107034.94592</v>
      </c>
    </row>
    <row r="51" spans="2:5" ht="13.5" thickTop="1">
      <c r="B51" s="146" t="s">
        <v>95</v>
      </c>
      <c r="C51" s="198">
        <v>0</v>
      </c>
      <c r="D51" s="198">
        <v>0</v>
      </c>
      <c r="E51" s="198">
        <v>20500</v>
      </c>
    </row>
    <row r="52" ht="12.75">
      <c r="E52" s="148"/>
    </row>
  </sheetData>
  <sheetProtection selectLockedCells="1"/>
  <printOptions/>
  <pageMargins left="0.75" right="0.75" top="1" bottom="1" header="0.5" footer="0.5"/>
  <pageSetup fitToHeight="0"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Alison Cooke</dc:creator>
  <cp:keywords/>
  <dc:description/>
  <cp:lastModifiedBy>Computer Centre</cp:lastModifiedBy>
  <cp:lastPrinted>2014-03-20T08:20:48Z</cp:lastPrinted>
  <dcterms:created xsi:type="dcterms:W3CDTF">2009-04-02T10:59:38Z</dcterms:created>
  <dcterms:modified xsi:type="dcterms:W3CDTF">2018-04-23T09:11:00Z</dcterms:modified>
  <cp:category/>
  <cp:version/>
  <cp:contentType/>
  <cp:contentStatus/>
</cp:coreProperties>
</file>